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erick.arizaca\Downloads\"/>
    </mc:Choice>
  </mc:AlternateContent>
  <xr:revisionPtr revIDLastSave="0" documentId="13_ncr:1_{353DB439-7B34-4E5A-B7E1-05BA6A4AFD9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Cronograma_KORI" sheetId="6" r:id="rId1"/>
    <sheet name="Tarifario_KORI" sheetId="8" r:id="rId2"/>
    <sheet name="Motor_KORI" sheetId="7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7" l="1"/>
  <c r="I52" i="7"/>
  <c r="B5" i="6"/>
  <c r="B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1" i="8"/>
  <c r="F52" i="7" l="1"/>
  <c r="F51" i="7"/>
  <c r="B2" i="7" l="1"/>
  <c r="B3" i="7"/>
  <c r="C3" i="7" s="1"/>
  <c r="D3" i="7" s="1"/>
  <c r="C51" i="7"/>
  <c r="B52" i="7" s="1"/>
  <c r="D51" i="7"/>
  <c r="E51" i="7" s="1"/>
  <c r="G51" i="7" s="1"/>
  <c r="H51" i="7" s="1"/>
  <c r="C52" i="7"/>
  <c r="D52" i="7"/>
  <c r="E52" i="7" s="1"/>
  <c r="G52" i="7" s="1"/>
  <c r="H52" i="7" s="1"/>
  <c r="B8" i="6"/>
  <c r="R4" i="6"/>
  <c r="R3" i="6" s="1"/>
  <c r="R5" i="6"/>
  <c r="R7" i="6" s="1"/>
  <c r="R6" i="6"/>
  <c r="R8" i="6" s="1"/>
  <c r="E3" i="7" l="1"/>
  <c r="G3" i="7" s="1"/>
  <c r="B4" i="7"/>
  <c r="C4" i="7" s="1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4" i="6"/>
  <c r="D5" i="6"/>
  <c r="D6" i="6"/>
  <c r="D7" i="6"/>
  <c r="D8" i="6"/>
  <c r="D9" i="6"/>
  <c r="D10" i="6"/>
  <c r="D11" i="6"/>
  <c r="D12" i="6"/>
  <c r="D13" i="6"/>
  <c r="D14" i="6"/>
  <c r="D15" i="6"/>
  <c r="D3" i="6"/>
  <c r="F3" i="6"/>
  <c r="B5" i="7" l="1"/>
  <c r="C5" i="7" s="1"/>
  <c r="D4" i="7"/>
  <c r="H3" i="7" s="1"/>
  <c r="I3" i="7" s="1"/>
  <c r="E52" i="6"/>
  <c r="E4" i="7" l="1"/>
  <c r="G4" i="7" s="1"/>
  <c r="B6" i="7"/>
  <c r="C6" i="7" s="1"/>
  <c r="D5" i="7"/>
  <c r="E5" i="7" s="1"/>
  <c r="G5" i="7" s="1"/>
  <c r="H3" i="6"/>
  <c r="H4" i="7" l="1"/>
  <c r="I4" i="7" s="1"/>
  <c r="D6" i="7"/>
  <c r="E6" i="7" s="1"/>
  <c r="G6" i="7" s="1"/>
  <c r="B7" i="7"/>
  <c r="C7" i="7" s="1"/>
  <c r="E3" i="6"/>
  <c r="H5" i="7" l="1"/>
  <c r="I5" i="7" s="1"/>
  <c r="D7" i="7"/>
  <c r="E7" i="7" s="1"/>
  <c r="G7" i="7" s="1"/>
  <c r="B8" i="7"/>
  <c r="C8" i="7" s="1"/>
  <c r="E4" i="6"/>
  <c r="H6" i="7" l="1"/>
  <c r="I6" i="7" s="1"/>
  <c r="B9" i="7"/>
  <c r="C9" i="7" s="1"/>
  <c r="D8" i="7"/>
  <c r="H7" i="7" s="1"/>
  <c r="I3" i="6"/>
  <c r="I7" i="7" l="1"/>
  <c r="B10" i="7"/>
  <c r="C10" i="7" s="1"/>
  <c r="D9" i="7"/>
  <c r="E9" i="7" s="1"/>
  <c r="G9" i="7" s="1"/>
  <c r="E8" i="7"/>
  <c r="G8" i="7" s="1"/>
  <c r="E5" i="6"/>
  <c r="H8" i="7" l="1"/>
  <c r="I8" i="7" s="1"/>
  <c r="B11" i="7"/>
  <c r="C11" i="7" s="1"/>
  <c r="D10" i="7"/>
  <c r="E10" i="7" s="1"/>
  <c r="G10" i="7" s="1"/>
  <c r="E6" i="6"/>
  <c r="H9" i="7" l="1"/>
  <c r="I9" i="7" s="1"/>
  <c r="B12" i="7"/>
  <c r="C12" i="7" s="1"/>
  <c r="D11" i="7"/>
  <c r="E11" i="7" s="1"/>
  <c r="G11" i="7" s="1"/>
  <c r="E7" i="6"/>
  <c r="H10" i="7" l="1"/>
  <c r="I10" i="7" s="1"/>
  <c r="B13" i="7"/>
  <c r="C13" i="7" s="1"/>
  <c r="D12" i="7"/>
  <c r="E12" i="7" s="1"/>
  <c r="G12" i="7" s="1"/>
  <c r="E8" i="6"/>
  <c r="H11" i="7" l="1"/>
  <c r="I11" i="7" s="1"/>
  <c r="B14" i="7"/>
  <c r="C14" i="7" s="1"/>
  <c r="D13" i="7"/>
  <c r="E13" i="7" s="1"/>
  <c r="G13" i="7" s="1"/>
  <c r="J52" i="6"/>
  <c r="E9" i="6"/>
  <c r="H12" i="7" l="1"/>
  <c r="I12" i="7" s="1"/>
  <c r="B15" i="7"/>
  <c r="C15" i="7" s="1"/>
  <c r="D14" i="7"/>
  <c r="H13" i="7" s="1"/>
  <c r="K52" i="6"/>
  <c r="L52" i="6" s="1"/>
  <c r="E10" i="6"/>
  <c r="I13" i="7" l="1"/>
  <c r="B16" i="7"/>
  <c r="C16" i="7" s="1"/>
  <c r="D15" i="7"/>
  <c r="E15" i="7" s="1"/>
  <c r="G15" i="7" s="1"/>
  <c r="E14" i="7"/>
  <c r="G14" i="7" s="1"/>
  <c r="E11" i="6"/>
  <c r="H14" i="7" l="1"/>
  <c r="I14" i="7" s="1"/>
  <c r="B17" i="7"/>
  <c r="C17" i="7" s="1"/>
  <c r="D16" i="7"/>
  <c r="E16" i="7" s="1"/>
  <c r="G16" i="7" s="1"/>
  <c r="E12" i="6"/>
  <c r="B18" i="7" l="1"/>
  <c r="C18" i="7" s="1"/>
  <c r="D17" i="7"/>
  <c r="E17" i="7" s="1"/>
  <c r="H15" i="7"/>
  <c r="I15" i="7" s="1"/>
  <c r="E13" i="6"/>
  <c r="B19" i="7" l="1"/>
  <c r="C19" i="7" s="1"/>
  <c r="D18" i="7"/>
  <c r="E18" i="7" s="1"/>
  <c r="G18" i="7" s="1"/>
  <c r="H16" i="7"/>
  <c r="I16" i="7" s="1"/>
  <c r="G17" i="7"/>
  <c r="E14" i="6"/>
  <c r="H17" i="7" l="1"/>
  <c r="I17" i="7" s="1"/>
  <c r="B20" i="7"/>
  <c r="C20" i="7" s="1"/>
  <c r="D19" i="7"/>
  <c r="E19" i="7" s="1"/>
  <c r="G19" i="7" s="1"/>
  <c r="E15" i="6"/>
  <c r="H18" i="7" l="1"/>
  <c r="I18" i="7"/>
  <c r="B21" i="7"/>
  <c r="C21" i="7" s="1"/>
  <c r="D20" i="7"/>
  <c r="E20" i="7" s="1"/>
  <c r="E16" i="6"/>
  <c r="B22" i="7" l="1"/>
  <c r="C22" i="7" s="1"/>
  <c r="D21" i="7"/>
  <c r="E21" i="7" s="1"/>
  <c r="G21" i="7" s="1"/>
  <c r="G20" i="7"/>
  <c r="H19" i="7"/>
  <c r="I19" i="7" s="1"/>
  <c r="E17" i="6"/>
  <c r="B23" i="7" l="1"/>
  <c r="C23" i="7" s="1"/>
  <c r="D22" i="7"/>
  <c r="E22" i="7" s="1"/>
  <c r="G22" i="7" s="1"/>
  <c r="H20" i="7"/>
  <c r="I20" i="7" s="1"/>
  <c r="E18" i="6"/>
  <c r="B24" i="7" l="1"/>
  <c r="C24" i="7" s="1"/>
  <c r="D23" i="7"/>
  <c r="E23" i="7" s="1"/>
  <c r="G23" i="7" s="1"/>
  <c r="H21" i="7"/>
  <c r="I21" i="7" s="1"/>
  <c r="E19" i="6"/>
  <c r="B25" i="7" l="1"/>
  <c r="C25" i="7" s="1"/>
  <c r="D24" i="7"/>
  <c r="E24" i="7" s="1"/>
  <c r="G24" i="7" s="1"/>
  <c r="H22" i="7"/>
  <c r="I22" i="7" s="1"/>
  <c r="E20" i="6"/>
  <c r="H23" i="7" l="1"/>
  <c r="I23" i="7" s="1"/>
  <c r="B26" i="7"/>
  <c r="C26" i="7" s="1"/>
  <c r="D25" i="7"/>
  <c r="E25" i="7" s="1"/>
  <c r="G25" i="7" s="1"/>
  <c r="E21" i="6"/>
  <c r="H24" i="7" l="1"/>
  <c r="I24" i="7" s="1"/>
  <c r="B27" i="7"/>
  <c r="C27" i="7" s="1"/>
  <c r="D26" i="7"/>
  <c r="E26" i="7" s="1"/>
  <c r="G26" i="7" s="1"/>
  <c r="E22" i="6"/>
  <c r="H25" i="7" l="1"/>
  <c r="I25" i="7" s="1"/>
  <c r="B28" i="7"/>
  <c r="C28" i="7" s="1"/>
  <c r="D27" i="7"/>
  <c r="E27" i="7" s="1"/>
  <c r="G27" i="7" s="1"/>
  <c r="E23" i="6"/>
  <c r="H27" i="7" l="1"/>
  <c r="H26" i="7"/>
  <c r="I26" i="7" s="1"/>
  <c r="I27" i="7" s="1"/>
  <c r="B29" i="7"/>
  <c r="C29" i="7" s="1"/>
  <c r="D28" i="7"/>
  <c r="E28" i="7" s="1"/>
  <c r="G28" i="7" s="1"/>
  <c r="E24" i="6"/>
  <c r="B30" i="7" l="1"/>
  <c r="C30" i="7" s="1"/>
  <c r="D29" i="7"/>
  <c r="E29" i="7" s="1"/>
  <c r="G29" i="7" s="1"/>
  <c r="H28" i="7"/>
  <c r="I28" i="7" s="1"/>
  <c r="E25" i="6"/>
  <c r="B31" i="7" l="1"/>
  <c r="C31" i="7" s="1"/>
  <c r="D30" i="7"/>
  <c r="E30" i="7" s="1"/>
  <c r="G30" i="7" s="1"/>
  <c r="E26" i="6"/>
  <c r="H30" i="7" l="1"/>
  <c r="B32" i="7"/>
  <c r="C32" i="7" s="1"/>
  <c r="D31" i="7"/>
  <c r="E31" i="7" s="1"/>
  <c r="G31" i="7" s="1"/>
  <c r="H29" i="7"/>
  <c r="I29" i="7" s="1"/>
  <c r="E27" i="6"/>
  <c r="I30" i="7" l="1"/>
  <c r="B33" i="7"/>
  <c r="C33" i="7" s="1"/>
  <c r="D32" i="7"/>
  <c r="E32" i="7" s="1"/>
  <c r="G32" i="7" s="1"/>
  <c r="E28" i="6"/>
  <c r="H31" i="7" l="1"/>
  <c r="I31" i="7" s="1"/>
  <c r="B34" i="7"/>
  <c r="C34" i="7" s="1"/>
  <c r="D33" i="7"/>
  <c r="E33" i="7" s="1"/>
  <c r="G33" i="7" s="1"/>
  <c r="E29" i="6"/>
  <c r="I32" i="7" l="1"/>
  <c r="H32" i="7"/>
  <c r="B35" i="7"/>
  <c r="C35" i="7" s="1"/>
  <c r="D34" i="7"/>
  <c r="E34" i="7" s="1"/>
  <c r="G34" i="7" s="1"/>
  <c r="E30" i="6"/>
  <c r="H34" i="7" l="1"/>
  <c r="B36" i="7"/>
  <c r="C36" i="7" s="1"/>
  <c r="D35" i="7"/>
  <c r="E35" i="7" s="1"/>
  <c r="G35" i="7" s="1"/>
  <c r="H33" i="7"/>
  <c r="I33" i="7" s="1"/>
  <c r="I34" i="7" s="1"/>
  <c r="E31" i="6"/>
  <c r="B37" i="7" l="1"/>
  <c r="C37" i="7" s="1"/>
  <c r="D36" i="7"/>
  <c r="E36" i="7" s="1"/>
  <c r="G36" i="7" s="1"/>
  <c r="E32" i="6"/>
  <c r="B38" i="7" l="1"/>
  <c r="C38" i="7" s="1"/>
  <c r="D37" i="7"/>
  <c r="E37" i="7" s="1"/>
  <c r="G37" i="7" s="1"/>
  <c r="H36" i="7"/>
  <c r="H35" i="7"/>
  <c r="I35" i="7" s="1"/>
  <c r="I36" i="7" s="1"/>
  <c r="E33" i="6"/>
  <c r="H37" i="7" l="1"/>
  <c r="I37" i="7" s="1"/>
  <c r="B39" i="7"/>
  <c r="C39" i="7" s="1"/>
  <c r="D38" i="7"/>
  <c r="E38" i="7" s="1"/>
  <c r="G38" i="7" s="1"/>
  <c r="E34" i="6"/>
  <c r="B40" i="7" l="1"/>
  <c r="C40" i="7" s="1"/>
  <c r="D39" i="7"/>
  <c r="E39" i="7" s="1"/>
  <c r="G39" i="7" s="1"/>
  <c r="E35" i="6"/>
  <c r="B41" i="7" l="1"/>
  <c r="C41" i="7" s="1"/>
  <c r="D40" i="7"/>
  <c r="E40" i="7" s="1"/>
  <c r="G40" i="7" s="1"/>
  <c r="H38" i="7"/>
  <c r="I38" i="7" s="1"/>
  <c r="E36" i="6"/>
  <c r="H40" i="7" l="1"/>
  <c r="B42" i="7"/>
  <c r="C42" i="7" s="1"/>
  <c r="D41" i="7"/>
  <c r="E41" i="7" s="1"/>
  <c r="G41" i="7" s="1"/>
  <c r="H39" i="7"/>
  <c r="I39" i="7" s="1"/>
  <c r="I40" i="7" s="1"/>
  <c r="E37" i="6"/>
  <c r="B43" i="7" l="1"/>
  <c r="C43" i="7" s="1"/>
  <c r="D42" i="7"/>
  <c r="E42" i="7" s="1"/>
  <c r="G42" i="7" s="1"/>
  <c r="E38" i="6"/>
  <c r="B44" i="7" l="1"/>
  <c r="C44" i="7" s="1"/>
  <c r="D43" i="7"/>
  <c r="E43" i="7" s="1"/>
  <c r="G43" i="7" s="1"/>
  <c r="H42" i="7"/>
  <c r="H41" i="7"/>
  <c r="I41" i="7" s="1"/>
  <c r="I42" i="7" s="1"/>
  <c r="E39" i="6"/>
  <c r="B45" i="7" l="1"/>
  <c r="C45" i="7" s="1"/>
  <c r="D44" i="7"/>
  <c r="E44" i="7" s="1"/>
  <c r="G44" i="7" s="1"/>
  <c r="E40" i="6"/>
  <c r="B46" i="7" l="1"/>
  <c r="C46" i="7" s="1"/>
  <c r="D45" i="7"/>
  <c r="E45" i="7" s="1"/>
  <c r="G45" i="7" s="1"/>
  <c r="H43" i="7"/>
  <c r="I43" i="7" s="1"/>
  <c r="E41" i="6"/>
  <c r="H44" i="7" l="1"/>
  <c r="I44" i="7" s="1"/>
  <c r="B47" i="7"/>
  <c r="C47" i="7" s="1"/>
  <c r="D46" i="7"/>
  <c r="E46" i="7" s="1"/>
  <c r="G46" i="7" s="1"/>
  <c r="E42" i="6"/>
  <c r="B48" i="7" l="1"/>
  <c r="C48" i="7" s="1"/>
  <c r="D47" i="7"/>
  <c r="E47" i="7" s="1"/>
  <c r="G47" i="7" s="1"/>
  <c r="H45" i="7"/>
  <c r="I45" i="7" s="1"/>
  <c r="E43" i="6"/>
  <c r="H46" i="7" l="1"/>
  <c r="I46" i="7" s="1"/>
  <c r="B49" i="7"/>
  <c r="C49" i="7" s="1"/>
  <c r="D48" i="7"/>
  <c r="E48" i="7" s="1"/>
  <c r="G48" i="7" s="1"/>
  <c r="E44" i="6"/>
  <c r="I47" i="7" l="1"/>
  <c r="B50" i="7"/>
  <c r="C50" i="7" s="1"/>
  <c r="D49" i="7"/>
  <c r="E49" i="7" s="1"/>
  <c r="G49" i="7" s="1"/>
  <c r="H47" i="7"/>
  <c r="E45" i="6"/>
  <c r="H48" i="7" l="1"/>
  <c r="I48" i="7" s="1"/>
  <c r="B51" i="7"/>
  <c r="D50" i="7"/>
  <c r="E50" i="7" s="1"/>
  <c r="E46" i="6"/>
  <c r="G50" i="7" l="1"/>
  <c r="H50" i="7" s="1"/>
  <c r="F2" i="7"/>
  <c r="F3" i="7" s="1"/>
  <c r="F4" i="7" s="1"/>
  <c r="F5" i="7" s="1"/>
  <c r="F6" i="7" s="1"/>
  <c r="F7" i="7" s="1"/>
  <c r="F8" i="7" s="1"/>
  <c r="F9" i="7" s="1"/>
  <c r="F10" i="7" s="1"/>
  <c r="F11" i="7" s="1"/>
  <c r="F12" i="7" s="1"/>
  <c r="F13" i="7" s="1"/>
  <c r="F14" i="7" s="1"/>
  <c r="F15" i="7" s="1"/>
  <c r="F16" i="7" s="1"/>
  <c r="F17" i="7" s="1"/>
  <c r="F18" i="7" s="1"/>
  <c r="F19" i="7" s="1"/>
  <c r="F20" i="7" s="1"/>
  <c r="F21" i="7" s="1"/>
  <c r="F22" i="7" s="1"/>
  <c r="F23" i="7" s="1"/>
  <c r="F24" i="7" s="1"/>
  <c r="F25" i="7" s="1"/>
  <c r="F26" i="7" s="1"/>
  <c r="F27" i="7" s="1"/>
  <c r="F28" i="7" s="1"/>
  <c r="F29" i="7" s="1"/>
  <c r="F30" i="7" s="1"/>
  <c r="F31" i="7" s="1"/>
  <c r="F32" i="7" s="1"/>
  <c r="F33" i="7" s="1"/>
  <c r="F34" i="7" s="1"/>
  <c r="F35" i="7" s="1"/>
  <c r="F36" i="7" s="1"/>
  <c r="F37" i="7" s="1"/>
  <c r="F38" i="7" s="1"/>
  <c r="F39" i="7" s="1"/>
  <c r="F40" i="7" s="1"/>
  <c r="F41" i="7" s="1"/>
  <c r="F42" i="7" s="1"/>
  <c r="F43" i="7" s="1"/>
  <c r="F44" i="7" s="1"/>
  <c r="F45" i="7" s="1"/>
  <c r="F46" i="7" s="1"/>
  <c r="F47" i="7" s="1"/>
  <c r="F48" i="7" s="1"/>
  <c r="F49" i="7" s="1"/>
  <c r="F50" i="7" s="1"/>
  <c r="H49" i="7"/>
  <c r="I49" i="7" s="1"/>
  <c r="I50" i="7" s="1"/>
  <c r="K3" i="7" s="1"/>
  <c r="M3" i="7" s="1"/>
  <c r="E47" i="6"/>
  <c r="J4" i="6" l="1"/>
  <c r="J3" i="6"/>
  <c r="E48" i="6"/>
  <c r="E49" i="6" l="1"/>
  <c r="E50" i="6" l="1"/>
  <c r="E51" i="6" l="1"/>
  <c r="K3" i="6" l="1"/>
  <c r="G3" i="6"/>
  <c r="J24" i="6"/>
  <c r="J34" i="6"/>
  <c r="J33" i="6"/>
  <c r="J30" i="6"/>
  <c r="J37" i="6"/>
  <c r="J18" i="6"/>
  <c r="J22" i="6"/>
  <c r="J11" i="6"/>
  <c r="J39" i="6"/>
  <c r="J36" i="6"/>
  <c r="J15" i="6"/>
  <c r="J27" i="6"/>
  <c r="J38" i="6"/>
  <c r="J43" i="6"/>
  <c r="J13" i="6"/>
  <c r="J35" i="6"/>
  <c r="J25" i="6"/>
  <c r="J40" i="6"/>
  <c r="J41" i="6"/>
  <c r="J28" i="6"/>
  <c r="J23" i="6"/>
  <c r="J47" i="6"/>
  <c r="J42" i="6"/>
  <c r="J44" i="6"/>
  <c r="J21" i="6"/>
  <c r="J20" i="6"/>
  <c r="J16" i="6"/>
  <c r="J46" i="6"/>
  <c r="J29" i="6"/>
  <c r="J48" i="6"/>
  <c r="J31" i="6"/>
  <c r="J19" i="6"/>
  <c r="J45" i="6"/>
  <c r="J49" i="6"/>
  <c r="J12" i="6"/>
  <c r="J9" i="6"/>
  <c r="K9" i="6" s="1"/>
  <c r="J6" i="6"/>
  <c r="K6" i="6" s="1"/>
  <c r="J7" i="6"/>
  <c r="K7" i="6" s="1"/>
  <c r="K4" i="6"/>
  <c r="K41" i="6" l="1"/>
  <c r="L41" i="6" s="1"/>
  <c r="K35" i="6"/>
  <c r="L35" i="6" s="1"/>
  <c r="K47" i="6"/>
  <c r="L47" i="6" s="1"/>
  <c r="K36" i="6"/>
  <c r="L36" i="6" s="1"/>
  <c r="K48" i="6"/>
  <c r="L48" i="6" s="1"/>
  <c r="K40" i="6"/>
  <c r="L40" i="6" s="1"/>
  <c r="K46" i="6"/>
  <c r="L46" i="6" s="1"/>
  <c r="K37" i="6"/>
  <c r="L37" i="6" s="1"/>
  <c r="K33" i="6"/>
  <c r="L33" i="6" s="1"/>
  <c r="K43" i="6"/>
  <c r="L43" i="6" s="1"/>
  <c r="K34" i="6"/>
  <c r="L34" i="6" s="1"/>
  <c r="K45" i="6"/>
  <c r="L45" i="6" s="1"/>
  <c r="K39" i="6"/>
  <c r="L39" i="6" s="1"/>
  <c r="K44" i="6"/>
  <c r="L44" i="6" s="1"/>
  <c r="K38" i="6"/>
  <c r="L38" i="6" s="1"/>
  <c r="K49" i="6"/>
  <c r="L49" i="6" s="1"/>
  <c r="K42" i="6"/>
  <c r="L42" i="6" s="1"/>
  <c r="K19" i="6"/>
  <c r="L19" i="6" s="1"/>
  <c r="K15" i="6"/>
  <c r="L15" i="6" s="1"/>
  <c r="K31" i="6"/>
  <c r="L31" i="6" s="1"/>
  <c r="K28" i="6"/>
  <c r="L28" i="6" s="1"/>
  <c r="K11" i="6"/>
  <c r="L11" i="6" s="1"/>
  <c r="K29" i="6"/>
  <c r="L29" i="6" s="1"/>
  <c r="K20" i="6"/>
  <c r="L20" i="6" s="1"/>
  <c r="K30" i="6"/>
  <c r="L30" i="6" s="1"/>
  <c r="K21" i="6"/>
  <c r="L21" i="6" s="1"/>
  <c r="K12" i="6"/>
  <c r="L12" i="6" s="1"/>
  <c r="K23" i="6"/>
  <c r="L23" i="6" s="1"/>
  <c r="K22" i="6"/>
  <c r="L22" i="6" s="1"/>
  <c r="K25" i="6"/>
  <c r="L25" i="6" s="1"/>
  <c r="K18" i="6"/>
  <c r="L18" i="6" s="1"/>
  <c r="K16" i="6"/>
  <c r="L16" i="6" s="1"/>
  <c r="K13" i="6"/>
  <c r="L13" i="6" s="1"/>
  <c r="K24" i="6"/>
  <c r="L24" i="6" s="1"/>
  <c r="K27" i="6"/>
  <c r="L27" i="6" s="1"/>
  <c r="N3" i="6" l="1"/>
  <c r="L3" i="6"/>
  <c r="F4" i="6"/>
  <c r="I4" i="6" s="1"/>
  <c r="H4" i="6" l="1"/>
  <c r="G4" i="6" s="1"/>
  <c r="L4" i="6" s="1"/>
  <c r="F5" i="6" l="1"/>
  <c r="N4" i="6"/>
  <c r="H5" i="6" l="1"/>
  <c r="I5" i="6"/>
  <c r="J5" i="6" l="1"/>
  <c r="K5" i="6" s="1"/>
  <c r="G5" i="6" l="1"/>
  <c r="F6" i="6" s="1"/>
  <c r="H6" i="6" s="1"/>
  <c r="I6" i="6" l="1"/>
  <c r="G6" i="6" s="1"/>
  <c r="L6" i="6" s="1"/>
  <c r="L5" i="6"/>
  <c r="N5" i="6"/>
  <c r="N6" i="6" l="1"/>
  <c r="F7" i="6"/>
  <c r="I7" i="6"/>
  <c r="H7" i="6"/>
  <c r="G7" i="6" l="1"/>
  <c r="L7" i="6" s="1"/>
  <c r="N7" i="6" l="1"/>
  <c r="F8" i="6"/>
  <c r="H8" i="6" l="1"/>
  <c r="I8" i="6"/>
  <c r="J8" i="6" l="1"/>
  <c r="K8" i="6" s="1"/>
  <c r="G8" i="6" l="1"/>
  <c r="L8" i="6" s="1"/>
  <c r="F9" i="6" l="1"/>
  <c r="H9" i="6" s="1"/>
  <c r="N8" i="6"/>
  <c r="I9" i="6" l="1"/>
  <c r="G9" i="6" s="1"/>
  <c r="L9" i="6" s="1"/>
  <c r="N9" i="6" l="1"/>
  <c r="F10" i="6"/>
  <c r="H10" i="6" s="1"/>
  <c r="I10" i="6" l="1"/>
  <c r="J10" i="6" l="1"/>
  <c r="K10" i="6" s="1"/>
  <c r="L10" i="6" l="1"/>
  <c r="G10" i="6"/>
  <c r="F11" i="6" l="1"/>
  <c r="N10" i="6"/>
  <c r="H11" i="6" l="1"/>
  <c r="I11" i="6"/>
  <c r="G11" i="6" s="1"/>
  <c r="F12" i="6" l="1"/>
  <c r="N11" i="6"/>
  <c r="H12" i="6" l="1"/>
  <c r="I12" i="6"/>
  <c r="G12" i="6" s="1"/>
  <c r="N12" i="6" s="1"/>
  <c r="F13" i="6" l="1"/>
  <c r="H13" i="6"/>
  <c r="I13" i="6"/>
  <c r="G13" i="6" l="1"/>
  <c r="J14" i="6"/>
  <c r="K14" i="6" s="1"/>
  <c r="L14" i="6" s="1"/>
  <c r="N13" i="6" l="1"/>
  <c r="F14" i="6"/>
  <c r="H14" i="6" l="1"/>
  <c r="I14" i="6"/>
  <c r="G14" i="6" s="1"/>
  <c r="N14" i="6" s="1"/>
  <c r="F15" i="6" l="1"/>
  <c r="H15" i="6" s="1"/>
  <c r="I15" i="6"/>
  <c r="G15" i="6" l="1"/>
  <c r="F16" i="6" s="1"/>
  <c r="N15" i="6" l="1"/>
  <c r="H16" i="6"/>
  <c r="I16" i="6"/>
  <c r="G16" i="6" s="1"/>
  <c r="N16" i="6" l="1"/>
  <c r="F17" i="6"/>
  <c r="I17" i="6" l="1"/>
  <c r="H17" i="6"/>
  <c r="J17" i="6" l="1"/>
  <c r="K17" i="6" s="1"/>
  <c r="L17" i="6" s="1"/>
  <c r="G17" i="6" l="1"/>
  <c r="N17" i="6" s="1"/>
  <c r="F18" i="6"/>
  <c r="H18" i="6" l="1"/>
  <c r="I18" i="6"/>
  <c r="G18" i="6" s="1"/>
  <c r="N18" i="6" l="1"/>
  <c r="F19" i="6"/>
  <c r="H19" i="6" l="1"/>
  <c r="I19" i="6"/>
  <c r="G19" i="6" s="1"/>
  <c r="N19" i="6" s="1"/>
  <c r="F20" i="6" l="1"/>
  <c r="H20" i="6" s="1"/>
  <c r="I20" i="6"/>
  <c r="G20" i="6" l="1"/>
  <c r="N20" i="6"/>
  <c r="F21" i="6"/>
  <c r="H21" i="6" l="1"/>
  <c r="I21" i="6"/>
  <c r="G21" i="6" s="1"/>
  <c r="N21" i="6" s="1"/>
  <c r="F22" i="6" l="1"/>
  <c r="H22" i="6" s="1"/>
  <c r="I22" i="6"/>
  <c r="G22" i="6" l="1"/>
  <c r="N22" i="6" s="1"/>
  <c r="F23" i="6" l="1"/>
  <c r="H23" i="6" l="1"/>
  <c r="I23" i="6"/>
  <c r="G23" i="6" s="1"/>
  <c r="F24" i="6" s="1"/>
  <c r="N23" i="6" l="1"/>
  <c r="H24" i="6"/>
  <c r="I24" i="6"/>
  <c r="G24" i="6" s="1"/>
  <c r="N24" i="6" l="1"/>
  <c r="F25" i="6"/>
  <c r="H25" i="6" l="1"/>
  <c r="I25" i="6"/>
  <c r="G25" i="6" l="1"/>
  <c r="N25" i="6" s="1"/>
  <c r="F26" i="6" l="1"/>
  <c r="I26" i="6" s="1"/>
  <c r="H26" i="6" l="1"/>
  <c r="J26" i="6" s="1"/>
  <c r="K26" i="6" s="1"/>
  <c r="L26" i="6" s="1"/>
  <c r="G26" i="6" l="1"/>
  <c r="N26" i="6" s="1"/>
  <c r="F27" i="6" l="1"/>
  <c r="H27" i="6"/>
  <c r="I27" i="6"/>
  <c r="G27" i="6" l="1"/>
  <c r="N27" i="6" s="1"/>
  <c r="F28" i="6" l="1"/>
  <c r="H28" i="6" s="1"/>
  <c r="I28" i="6" l="1"/>
  <c r="G28" i="6" s="1"/>
  <c r="N28" i="6" s="1"/>
  <c r="F29" i="6" l="1"/>
  <c r="H29" i="6" s="1"/>
  <c r="I29" i="6" l="1"/>
  <c r="G29" i="6" s="1"/>
  <c r="N29" i="6" s="1"/>
  <c r="F30" i="6" l="1"/>
  <c r="I30" i="6" s="1"/>
  <c r="H30" i="6" l="1"/>
  <c r="G30" i="6" s="1"/>
  <c r="N30" i="6" s="1"/>
  <c r="F31" i="6" l="1"/>
  <c r="H31" i="6" s="1"/>
  <c r="I31" i="6" l="1"/>
  <c r="G31" i="6" s="1"/>
  <c r="N31" i="6" s="1"/>
  <c r="F32" i="6" l="1"/>
  <c r="H32" i="6" s="1"/>
  <c r="J32" i="6" s="1"/>
  <c r="I32" i="6"/>
  <c r="K32" i="6" l="1"/>
  <c r="L32" i="6" s="1"/>
  <c r="G32" i="6"/>
  <c r="F33" i="6" l="1"/>
  <c r="N32" i="6"/>
  <c r="I33" i="6" l="1"/>
  <c r="H33" i="6"/>
  <c r="G33" i="6" l="1"/>
  <c r="N33" i="6" s="1"/>
  <c r="F34" i="6" l="1"/>
  <c r="I34" i="6" s="1"/>
  <c r="H34" i="6" l="1"/>
  <c r="G34" i="6" s="1"/>
  <c r="N34" i="6" s="1"/>
  <c r="F35" i="6" l="1"/>
  <c r="H35" i="6" s="1"/>
  <c r="I35" i="6"/>
  <c r="G35" i="6" l="1"/>
  <c r="N35" i="6" s="1"/>
  <c r="F36" i="6" l="1"/>
  <c r="H36" i="6" s="1"/>
  <c r="I36" i="6"/>
  <c r="G36" i="6" l="1"/>
  <c r="F37" i="6" s="1"/>
  <c r="N36" i="6" l="1"/>
  <c r="H37" i="6"/>
  <c r="I37" i="6"/>
  <c r="G37" i="6" l="1"/>
  <c r="N37" i="6" s="1"/>
  <c r="F38" i="6" l="1"/>
  <c r="H38" i="6" s="1"/>
  <c r="I38" i="6" l="1"/>
  <c r="G38" i="6"/>
  <c r="N38" i="6" s="1"/>
  <c r="F39" i="6" l="1"/>
  <c r="H39" i="6" s="1"/>
  <c r="I39" i="6"/>
  <c r="G39" i="6" l="1"/>
  <c r="N39" i="6" s="1"/>
  <c r="F40" i="6" l="1"/>
  <c r="H40" i="6" s="1"/>
  <c r="I40" i="6" l="1"/>
  <c r="G40" i="6" s="1"/>
  <c r="N40" i="6" s="1"/>
  <c r="F41" i="6" l="1"/>
  <c r="I41" i="6"/>
  <c r="H41" i="6"/>
  <c r="G41" i="6" l="1"/>
  <c r="N41" i="6" s="1"/>
  <c r="F42" i="6" l="1"/>
  <c r="H42" i="6" s="1"/>
  <c r="I42" i="6" l="1"/>
  <c r="G42" i="6" s="1"/>
  <c r="N42" i="6" l="1"/>
  <c r="F43" i="6"/>
  <c r="H43" i="6" l="1"/>
  <c r="I43" i="6"/>
  <c r="G43" i="6" s="1"/>
  <c r="N43" i="6" l="1"/>
  <c r="F44" i="6"/>
  <c r="H44" i="6" l="1"/>
  <c r="I44" i="6"/>
  <c r="G44" i="6" l="1"/>
  <c r="N44" i="6" s="1"/>
  <c r="F45" i="6" l="1"/>
  <c r="H45" i="6" s="1"/>
  <c r="I45" i="6" l="1"/>
  <c r="G45" i="6" s="1"/>
  <c r="N45" i="6" s="1"/>
  <c r="F46" i="6" l="1"/>
  <c r="H46" i="6" s="1"/>
  <c r="I46" i="6" l="1"/>
  <c r="G46" i="6" s="1"/>
  <c r="N46" i="6" s="1"/>
  <c r="F47" i="6" l="1"/>
  <c r="H47" i="6" s="1"/>
  <c r="I47" i="6"/>
  <c r="G47" i="6" l="1"/>
  <c r="N47" i="6" s="1"/>
  <c r="F48" i="6" l="1"/>
  <c r="H48" i="6" s="1"/>
  <c r="I48" i="6" l="1"/>
  <c r="G48" i="6" s="1"/>
  <c r="N48" i="6" s="1"/>
  <c r="F49" i="6" l="1"/>
  <c r="H49" i="6" s="1"/>
  <c r="I49" i="6" l="1"/>
  <c r="G49" i="6" s="1"/>
  <c r="F50" i="6" s="1"/>
  <c r="N49" i="6" l="1"/>
  <c r="H50" i="6"/>
  <c r="I50" i="6"/>
  <c r="J50" i="6" l="1"/>
  <c r="K50" i="6" s="1"/>
  <c r="L50" i="6" s="1"/>
  <c r="G50" i="6" l="1"/>
  <c r="N50" i="6" l="1"/>
  <c r="F51" i="6"/>
  <c r="H51" i="6" l="1"/>
  <c r="I51" i="6"/>
  <c r="J51" i="6" s="1"/>
  <c r="G51" i="6" l="1"/>
  <c r="K51" i="6"/>
  <c r="L51" i="6"/>
  <c r="N51" i="6" l="1"/>
  <c r="F52" i="6"/>
  <c r="H52" i="6" l="1"/>
  <c r="I52" i="6"/>
  <c r="G52" i="6" s="1"/>
  <c r="N52" i="6" s="1"/>
</calcChain>
</file>

<file path=xl/sharedStrings.xml><?xml version="1.0" encoding="utf-8"?>
<sst xmlns="http://schemas.openxmlformats.org/spreadsheetml/2006/main" count="40" uniqueCount="38">
  <si>
    <t>TEM usada</t>
  </si>
  <si>
    <t>Monto</t>
  </si>
  <si>
    <t>ITF</t>
  </si>
  <si>
    <t>Seguro</t>
  </si>
  <si>
    <t>Dia de Pago</t>
  </si>
  <si>
    <t>Numero de Cuotas</t>
  </si>
  <si>
    <t>Fecha de Desmbolso</t>
  </si>
  <si>
    <t>Saldo</t>
  </si>
  <si>
    <t>Capital</t>
  </si>
  <si>
    <t>Interes</t>
  </si>
  <si>
    <t>Cuota</t>
  </si>
  <si>
    <t>Fecha</t>
  </si>
  <si>
    <t>TEA usada</t>
  </si>
  <si>
    <t>Seguro Desgravamen</t>
  </si>
  <si>
    <t>Valor de Cuota</t>
  </si>
  <si>
    <t>Dia</t>
  </si>
  <si>
    <t>Tasa</t>
  </si>
  <si>
    <t>N°</t>
  </si>
  <si>
    <t>Factor Fecha</t>
  </si>
  <si>
    <t>Fecha base cuota 1</t>
  </si>
  <si>
    <t>Con fecha 0</t>
  </si>
  <si>
    <t>Diferencia 0</t>
  </si>
  <si>
    <t>Con fecha 1</t>
  </si>
  <si>
    <t>Diferencia 1</t>
  </si>
  <si>
    <t>Saldo Capital</t>
  </si>
  <si>
    <t>Cambio</t>
  </si>
  <si>
    <t>Fecha base</t>
  </si>
  <si>
    <t>Total a Pagar</t>
  </si>
  <si>
    <t>ITF estimado</t>
  </si>
  <si>
    <t>SI</t>
  </si>
  <si>
    <t>PJ</t>
  </si>
  <si>
    <t>NO</t>
  </si>
  <si>
    <t>Seg Desg.</t>
  </si>
  <si>
    <t>Cuenta con seguro?</t>
  </si>
  <si>
    <t>dk</t>
  </si>
  <si>
    <t>1+Tasa+seg</t>
  </si>
  <si>
    <t>Suma Fatores</t>
  </si>
  <si>
    <t>Factor Desc. 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</si>
</sst>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S/&quot;\ #,##0.00;[Red]\-&quot;S/&quot;\ #,##0.00"/>
    <numFmt numFmtId="44" formatCode="_-&quot;S/&quot;\ * #,##0.00_-;\-&quot;S/&quot;\ * #,##0.00_-;_-&quot;S/&quot;\ * &quot;-&quot;??_-;_-@_-"/>
    <numFmt numFmtId="164" formatCode="0.0000%"/>
    <numFmt numFmtId="165" formatCode="0.000%"/>
    <numFmt numFmtId="166" formatCode="0.00000%"/>
    <numFmt numFmtId="167" formatCode="&quot;S/&quot;\ #,##0.00"/>
    <numFmt numFmtId="168" formatCode="0.0000000%"/>
    <numFmt numFmtId="169" formatCode="0.0000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10" fontId="0" fillId="0" borderId="0" xfId="0" applyNumberFormat="1"/>
    <xf numFmtId="164" fontId="0" fillId="0" borderId="0" xfId="0" applyNumberFormat="1"/>
    <xf numFmtId="8" fontId="0" fillId="0" borderId="0" xfId="0" applyNumberFormat="1"/>
    <xf numFmtId="166" fontId="0" fillId="0" borderId="0" xfId="2" applyNumberFormat="1" applyFont="1"/>
    <xf numFmtId="14" fontId="0" fillId="0" borderId="0" xfId="0" applyNumberFormat="1"/>
    <xf numFmtId="0" fontId="3" fillId="0" borderId="0" xfId="0" applyFont="1"/>
    <xf numFmtId="0" fontId="0" fillId="0" borderId="0" xfId="2" applyNumberFormat="1" applyFont="1"/>
    <xf numFmtId="167" fontId="0" fillId="0" borderId="0" xfId="0" applyNumberForma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/>
    <xf numFmtId="14" fontId="3" fillId="0" borderId="0" xfId="0" applyNumberFormat="1" applyFont="1"/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/>
    <xf numFmtId="44" fontId="3" fillId="0" borderId="1" xfId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8" fontId="0" fillId="0" borderId="0" xfId="0" applyNumberFormat="1"/>
    <xf numFmtId="169" fontId="0" fillId="0" borderId="0" xfId="0" applyNumberFormat="1"/>
    <xf numFmtId="167" fontId="0" fillId="3" borderId="0" xfId="0" applyNumberFormat="1" applyFill="1"/>
    <xf numFmtId="14" fontId="2" fillId="2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7" fontId="2" fillId="4" borderId="0" xfId="0" applyNumberFormat="1" applyFont="1" applyFill="1" applyAlignment="1">
      <alignment horizontal="center"/>
    </xf>
    <xf numFmtId="0" fontId="2" fillId="2" borderId="0" xfId="0" applyFont="1" applyFill="1"/>
    <xf numFmtId="164" fontId="0" fillId="0" borderId="0" xfId="2" applyNumberFormat="1" applyFont="1"/>
    <xf numFmtId="44" fontId="0" fillId="0" borderId="0" xfId="2" applyNumberFormat="1" applyFont="1"/>
    <xf numFmtId="0" fontId="3" fillId="0" borderId="0" xfId="0" applyFont="1" applyAlignment="1">
      <alignment horizontal="right"/>
    </xf>
    <xf numFmtId="10" fontId="0" fillId="0" borderId="0" xfId="2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64" fontId="4" fillId="0" borderId="0" xfId="2" applyNumberFormat="1" applyFont="1" applyFill="1" applyBorder="1"/>
    <xf numFmtId="14" fontId="4" fillId="0" borderId="0" xfId="0" applyNumberFormat="1" applyFont="1"/>
    <xf numFmtId="164" fontId="0" fillId="5" borderId="0" xfId="2" applyNumberFormat="1" applyFont="1" applyFill="1"/>
    <xf numFmtId="0" fontId="0" fillId="5" borderId="0" xfId="0" applyFill="1"/>
    <xf numFmtId="10" fontId="0" fillId="5" borderId="0" xfId="0" applyNumberFormat="1" applyFill="1"/>
    <xf numFmtId="10" fontId="0" fillId="5" borderId="0" xfId="2" applyNumberFormat="1" applyFont="1" applyFill="1"/>
    <xf numFmtId="0" fontId="0" fillId="0" borderId="0" xfId="0" applyNumberForma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13BC-FE25-46E1-AB04-6AC30951FCB4}">
  <dimension ref="A1:AC53"/>
  <sheetViews>
    <sheetView tabSelected="1" zoomScale="55" zoomScaleNormal="55" workbookViewId="0">
      <selection activeCell="AC11" sqref="AC11"/>
    </sheetView>
  </sheetViews>
  <sheetFormatPr baseColWidth="10" defaultRowHeight="14.5" x14ac:dyDescent="0.35"/>
  <cols>
    <col min="1" max="1" width="18.453125" bestFit="1" customWidth="1"/>
    <col min="2" max="2" width="14.7265625" customWidth="1"/>
    <col min="3" max="3" width="9.453125" customWidth="1"/>
    <col min="4" max="4" width="3.6328125" style="9" customWidth="1"/>
    <col min="5" max="5" width="10.453125" style="5" bestFit="1" customWidth="1"/>
    <col min="6" max="6" width="14.7265625" customWidth="1"/>
    <col min="7" max="7" width="13.453125" customWidth="1"/>
    <col min="8" max="8" width="12.7265625" customWidth="1"/>
    <col min="9" max="9" width="10.6328125" customWidth="1"/>
    <col min="10" max="10" width="12.6328125" customWidth="1"/>
    <col min="11" max="11" width="12.1796875" customWidth="1"/>
    <col min="12" max="12" width="12.1796875" style="8" customWidth="1"/>
    <col min="13" max="13" width="6.6328125" customWidth="1"/>
    <col min="14" max="14" width="14.81640625" hidden="1" customWidth="1"/>
    <col min="16" max="16" width="3.81640625" customWidth="1"/>
    <col min="17" max="17" width="16.7265625" hidden="1" customWidth="1"/>
    <col min="18" max="18" width="0" hidden="1" customWidth="1"/>
  </cols>
  <sheetData>
    <row r="1" spans="1:29" x14ac:dyDescent="0.35"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35">
      <c r="A2" s="11" t="s">
        <v>1</v>
      </c>
      <c r="B2" s="16">
        <v>5000</v>
      </c>
      <c r="D2" s="10" t="s">
        <v>17</v>
      </c>
      <c r="E2" s="24" t="s">
        <v>11</v>
      </c>
      <c r="F2" s="10" t="s">
        <v>7</v>
      </c>
      <c r="G2" s="10" t="s">
        <v>8</v>
      </c>
      <c r="H2" s="10" t="s">
        <v>9</v>
      </c>
      <c r="I2" s="10" t="s">
        <v>3</v>
      </c>
      <c r="J2" s="10" t="s">
        <v>10</v>
      </c>
      <c r="K2" s="25" t="s">
        <v>28</v>
      </c>
      <c r="L2" s="26" t="s">
        <v>27</v>
      </c>
      <c r="M2" s="9"/>
      <c r="N2" s="10" t="s">
        <v>24</v>
      </c>
      <c r="O2" s="9"/>
      <c r="P2" s="33"/>
      <c r="Q2" s="34"/>
      <c r="R2" s="35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x14ac:dyDescent="0.35">
      <c r="A3" s="11" t="s">
        <v>6</v>
      </c>
      <c r="B3" s="17">
        <v>46156</v>
      </c>
      <c r="D3" s="9">
        <f>IF(Motor_KORI!A3&gt;Cronograma_KORI!$B$4,"",Motor_KORI!A3)</f>
        <v>1</v>
      </c>
      <c r="E3" s="5">
        <f>IF(D3&gt;$B$4,"",Motor_KORI!D3)</f>
        <v>46189</v>
      </c>
      <c r="F3" s="8">
        <f>B2</f>
        <v>5000</v>
      </c>
      <c r="G3" s="8">
        <f>J3-I3-H3</f>
        <v>236.45939942511893</v>
      </c>
      <c r="H3" s="8">
        <f>IF(D3&gt;$B$4,"",B2*Motor_KORI!G3)</f>
        <v>208.84060057488108</v>
      </c>
      <c r="I3" s="8">
        <f>IF(D3&gt;$B$4,"",IF(MONTH(E3)=MONTH(E4),B2*2*Cronograma_KORI!$B$8,B2*Cronograma_KORI!$B$8))</f>
        <v>3.05</v>
      </c>
      <c r="J3" s="8">
        <f>IF(D3&gt;$B$4,"",IF(D3=$B$4,F3+H3+I3,Motor_KORI!$M$3))</f>
        <v>448.35</v>
      </c>
      <c r="K3" s="8">
        <f>IF(D3&gt;$B$4,"",$B$9*J3)</f>
        <v>0</v>
      </c>
      <c r="L3" s="8">
        <f>IF(D3&gt;$B$4,"",J3+K3)</f>
        <v>448.35</v>
      </c>
      <c r="N3" s="8">
        <f>G3</f>
        <v>236.45939942511893</v>
      </c>
      <c r="O3" s="8"/>
      <c r="P3" s="32"/>
      <c r="Q3" s="34" t="s">
        <v>19</v>
      </c>
      <c r="R3" s="36">
        <f>DATE(YEAR(EDATE(B3,R4)),MONTH(EDATE(B3,R4)),DAY(B6))</f>
        <v>46189</v>
      </c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spans="1:29" x14ac:dyDescent="0.35">
      <c r="A4" s="11" t="s">
        <v>5</v>
      </c>
      <c r="B4" s="18">
        <v>15</v>
      </c>
      <c r="D4" s="9">
        <f>IF(Motor_KORI!A4&gt;Cronograma_KORI!$B$4,"",Motor_KORI!A4)</f>
        <v>2</v>
      </c>
      <c r="E4" s="5">
        <f>IF(D4&gt;$B$4,"",Motor_KORI!D4)</f>
        <v>46219</v>
      </c>
      <c r="F4" s="8">
        <f t="shared" ref="F4:F35" si="0">IF(D4&gt;$B$4,"",F3-G3)</f>
        <v>4763.540600574881</v>
      </c>
      <c r="G4" s="8">
        <f t="shared" ref="G4:G35" si="1">IF(D4&gt;$B$4,"",J4-I4-H4)</f>
        <v>264.90605147186113</v>
      </c>
      <c r="H4" s="8">
        <f>IF(D4&gt;$B$4,"",F4*Motor_KORI!G4)</f>
        <v>180.53818876178821</v>
      </c>
      <c r="I4" s="8">
        <f>IF(D4&gt;$B$4,"",IF(MONTH(E4)=MONTH(E3),F4*0*Cronograma_KORI!$B$8,IF(MONTH(E4)=IFERROR(MONTH(E5),0),F4*2*Cronograma_KORI!$B$8,F4*Cronograma_KORI!$B$8)))</f>
        <v>2.9057597663506773</v>
      </c>
      <c r="J4" s="8">
        <f>IF(D4&gt;$B$4,"",IF(D4=$B$4,F4+H4+I4,Motor_KORI!$M$3))</f>
        <v>448.35</v>
      </c>
      <c r="K4" s="8">
        <f t="shared" ref="K4:K52" si="2">IF(D4&gt;$B$4,"",$B$9*J4)</f>
        <v>0</v>
      </c>
      <c r="L4" s="8">
        <f t="shared" ref="L4:L52" si="3">IF(D4&gt;$B$4,"",J4+K4)</f>
        <v>448.35</v>
      </c>
      <c r="N4" s="8">
        <f t="shared" ref="N4:N35" si="4">IF(D4&gt;$B$4,"",G4+N3)</f>
        <v>501.36545089698006</v>
      </c>
      <c r="O4" s="8"/>
      <c r="P4" s="32"/>
      <c r="Q4" s="34" t="s">
        <v>18</v>
      </c>
      <c r="R4" s="32">
        <f>IF(R9=0,IF(R7&gt;45,0,IF(AND(R7&lt;46,R8&lt;46),IF(MAX(R7:R8)=R7,1,0),"")),1)</f>
        <v>1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</row>
    <row r="5" spans="1:29" x14ac:dyDescent="0.35">
      <c r="A5" s="11" t="s">
        <v>0</v>
      </c>
      <c r="B5" s="19">
        <f>ROUND((1+B7)^(1/12)-1,4)</f>
        <v>3.7900000000000003E-2</v>
      </c>
      <c r="D5" s="9">
        <f>IF(Motor_KORI!A5&gt;Cronograma_KORI!$B$4,"",Motor_KORI!A5)</f>
        <v>3</v>
      </c>
      <c r="E5" s="5">
        <f>IF(D5&gt;$B$4,"",Motor_KORI!D5)</f>
        <v>46251</v>
      </c>
      <c r="F5" s="8">
        <f t="shared" si="0"/>
        <v>4498.6345491030197</v>
      </c>
      <c r="G5" s="8">
        <f t="shared" si="1"/>
        <v>263.51393821794966</v>
      </c>
      <c r="H5" s="8">
        <f>IF(D5&gt;$B$4,"",F5*Motor_KORI!G5)</f>
        <v>182.09189470709751</v>
      </c>
      <c r="I5" s="8">
        <f>IF(D5&gt;$B$4,"",IF(MONTH(E5)=MONTH(E4),F5*0*Cronograma_KORI!$B$8,IF(MONTH(E5)=IFERROR(MONTH(E6),0),F5*2*Cronograma_KORI!$B$8,F5*Cronograma_KORI!$B$8)))</f>
        <v>2.7441670749528417</v>
      </c>
      <c r="J5" s="8">
        <f>IF(D5&gt;$B$4,"",IF(D5=$B$4,F5+H5+I5,Motor_KORI!$M$3))</f>
        <v>448.35</v>
      </c>
      <c r="K5" s="8">
        <f t="shared" si="2"/>
        <v>0</v>
      </c>
      <c r="L5" s="8">
        <f t="shared" si="3"/>
        <v>448.35</v>
      </c>
      <c r="N5" s="8">
        <f t="shared" si="4"/>
        <v>764.87938911492972</v>
      </c>
      <c r="O5" s="8"/>
      <c r="P5" s="32"/>
      <c r="Q5" s="34" t="s">
        <v>22</v>
      </c>
      <c r="R5" s="36">
        <f>DATE(YEAR(EDATE(B3,1)),MONTH(EDATE(B3,1)),DAY(B6))</f>
        <v>46189</v>
      </c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</row>
    <row r="6" spans="1:29" x14ac:dyDescent="0.35">
      <c r="A6" s="11" t="s">
        <v>4</v>
      </c>
      <c r="B6" s="18">
        <v>16</v>
      </c>
      <c r="D6" s="9">
        <f>IF(Motor_KORI!A6&gt;Cronograma_KORI!$B$4,"",Motor_KORI!A6)</f>
        <v>4</v>
      </c>
      <c r="E6" s="5">
        <f>IF(D6&gt;$B$4,"",Motor_KORI!D6)</f>
        <v>46281</v>
      </c>
      <c r="F6" s="8">
        <f t="shared" si="0"/>
        <v>4235.1206108850702</v>
      </c>
      <c r="G6" s="8">
        <f t="shared" si="1"/>
        <v>285.25550527481573</v>
      </c>
      <c r="H6" s="8">
        <f>IF(D6&gt;$B$4,"",F6*Motor_KORI!G6)</f>
        <v>160.51107115254436</v>
      </c>
      <c r="I6" s="8">
        <f>IF(D6&gt;$B$4,"",IF(MONTH(E6)=MONTH(E5),F6*0*Cronograma_KORI!$B$8,IF(MONTH(E6)=IFERROR(MONTH(E7),0),F6*2*Cronograma_KORI!$B$8,F6*Cronograma_KORI!$B$8)))</f>
        <v>2.5834235726398926</v>
      </c>
      <c r="J6" s="8">
        <f>IF(D6&gt;$B$4,"",IF(D6=$B$4,F6+H6+I6,Motor_KORI!$M$3))</f>
        <v>448.35</v>
      </c>
      <c r="K6" s="8">
        <f t="shared" si="2"/>
        <v>0</v>
      </c>
      <c r="L6" s="8">
        <f t="shared" si="3"/>
        <v>448.35</v>
      </c>
      <c r="N6" s="8">
        <f t="shared" si="4"/>
        <v>1050.1348943897456</v>
      </c>
      <c r="O6" s="8"/>
      <c r="P6" s="32"/>
      <c r="Q6" s="34" t="s">
        <v>20</v>
      </c>
      <c r="R6" s="36">
        <f>DATE(YEAR(EDATE(B3,0)),MONTH(EDATE(B3,0)),DAY(B6))</f>
        <v>46158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29" x14ac:dyDescent="0.35">
      <c r="A7" s="11" t="s">
        <v>12</v>
      </c>
      <c r="B7" s="19">
        <v>0.56269999999999998</v>
      </c>
      <c r="D7" s="9">
        <f>IF(Motor_KORI!A7&gt;Cronograma_KORI!$B$4,"",Motor_KORI!A7)</f>
        <v>5</v>
      </c>
      <c r="E7" s="5">
        <f>IF(D7&gt;$B$4,"",Motor_KORI!D7)</f>
        <v>46311</v>
      </c>
      <c r="F7" s="8">
        <f t="shared" si="0"/>
        <v>3949.8651056102544</v>
      </c>
      <c r="G7" s="8">
        <f t="shared" si="1"/>
        <v>296.24069478294894</v>
      </c>
      <c r="H7" s="8">
        <f>IF(D7&gt;$B$4,"",F7*Motor_KORI!G7)</f>
        <v>149.69988750262883</v>
      </c>
      <c r="I7" s="8">
        <f>IF(D7&gt;$B$4,"",IF(MONTH(E7)=MONTH(E6),F7*0*Cronograma_KORI!$B$8,IF(MONTH(E7)=IFERROR(MONTH(E8),0),F7*2*Cronograma_KORI!$B$8,F7*Cronograma_KORI!$B$8)))</f>
        <v>2.4094177144222551</v>
      </c>
      <c r="J7" s="8">
        <f>IF(D7&gt;$B$4,"",IF(D7=$B$4,F7+H7+I7,Motor_KORI!$M$3))</f>
        <v>448.35</v>
      </c>
      <c r="K7" s="8">
        <f t="shared" si="2"/>
        <v>0</v>
      </c>
      <c r="L7" s="8">
        <f t="shared" si="3"/>
        <v>448.35</v>
      </c>
      <c r="N7" s="8">
        <f t="shared" si="4"/>
        <v>1346.3755891726946</v>
      </c>
      <c r="O7" s="8"/>
      <c r="P7" s="32"/>
      <c r="Q7" s="34" t="s">
        <v>23</v>
      </c>
      <c r="R7" s="32">
        <f>R5-B3</f>
        <v>33</v>
      </c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29" x14ac:dyDescent="0.35">
      <c r="A8" s="11" t="s">
        <v>13</v>
      </c>
      <c r="B8" s="20">
        <f>IF(B10="NO",0,Tarifario_KORI!F2)</f>
        <v>6.0999999999999997E-4</v>
      </c>
      <c r="D8" s="9">
        <f>IF(Motor_KORI!A8&gt;Cronograma_KORI!$B$4,"",Motor_KORI!A8)</f>
        <v>6</v>
      </c>
      <c r="E8" s="5">
        <f>IF(D8&gt;$B$4,"",Motor_KORI!D8)</f>
        <v>46342</v>
      </c>
      <c r="F8" s="8">
        <f t="shared" si="0"/>
        <v>3653.6244108273054</v>
      </c>
      <c r="G8" s="8">
        <f t="shared" si="1"/>
        <v>302.94387811586432</v>
      </c>
      <c r="H8" s="8">
        <f>IF(D8&gt;$B$4,"",F8*Motor_KORI!G8)</f>
        <v>143.17741099353103</v>
      </c>
      <c r="I8" s="8">
        <f>IF(D8&gt;$B$4,"",IF(MONTH(E8)=MONTH(E7),F8*0*Cronograma_KORI!$B$8,IF(MONTH(E8)=IFERROR(MONTH(E9),0),F8*2*Cronograma_KORI!$B$8,F8*Cronograma_KORI!$B$8)))</f>
        <v>2.2287108906046562</v>
      </c>
      <c r="J8" s="8">
        <f>IF(D8&gt;$B$4,"",IF(D8=$B$4,F8+H8+I8,Motor_KORI!$M$3))</f>
        <v>448.35</v>
      </c>
      <c r="K8" s="8">
        <f t="shared" si="2"/>
        <v>0</v>
      </c>
      <c r="L8" s="8">
        <f t="shared" si="3"/>
        <v>448.35</v>
      </c>
      <c r="N8" s="8">
        <f t="shared" si="4"/>
        <v>1649.3194672885588</v>
      </c>
      <c r="O8" s="8"/>
      <c r="P8" s="32"/>
      <c r="Q8" s="34" t="s">
        <v>21</v>
      </c>
      <c r="R8" s="32">
        <f>R6-B3</f>
        <v>2</v>
      </c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</row>
    <row r="9" spans="1:29" x14ac:dyDescent="0.35">
      <c r="A9" s="11" t="s">
        <v>2</v>
      </c>
      <c r="B9" s="20">
        <v>0</v>
      </c>
      <c r="C9" s="5"/>
      <c r="D9" s="9">
        <f>IF(Motor_KORI!A9&gt;Cronograma_KORI!$B$4,"",Motor_KORI!A9)</f>
        <v>7</v>
      </c>
      <c r="E9" s="5">
        <f>IF(D9&gt;$B$4,"",Motor_KORI!D9)</f>
        <v>46372</v>
      </c>
      <c r="F9" s="8">
        <f t="shared" si="0"/>
        <v>3350.6805327114412</v>
      </c>
      <c r="G9" s="8">
        <f t="shared" si="1"/>
        <v>319.31529268528232</v>
      </c>
      <c r="H9" s="8">
        <f>IF(D9&gt;$B$4,"",F9*Motor_KORI!G9)</f>
        <v>126.99079218976377</v>
      </c>
      <c r="I9" s="8">
        <f>IF(D9&gt;$B$4,"",IF(MONTH(E9)=MONTH(E8),F9*0*Cronograma_KORI!$B$8,IF(MONTH(E9)=IFERROR(MONTH(E10),0),F9*2*Cronograma_KORI!$B$8,F9*Cronograma_KORI!$B$8)))</f>
        <v>2.0439151249539789</v>
      </c>
      <c r="J9" s="8">
        <f>IF(D9&gt;$B$4,"",IF(D9=$B$4,F9+H9+I9,Motor_KORI!$M$3))</f>
        <v>448.35</v>
      </c>
      <c r="K9" s="8">
        <f t="shared" si="2"/>
        <v>0</v>
      </c>
      <c r="L9" s="8">
        <f t="shared" si="3"/>
        <v>448.35</v>
      </c>
      <c r="N9" s="8">
        <f t="shared" si="4"/>
        <v>1968.634759973841</v>
      </c>
      <c r="O9" s="8"/>
      <c r="P9" s="32"/>
      <c r="Q9" s="34" t="s">
        <v>25</v>
      </c>
      <c r="R9" s="32">
        <v>1</v>
      </c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29" x14ac:dyDescent="0.35">
      <c r="A10" s="27" t="s">
        <v>33</v>
      </c>
      <c r="B10" s="18" t="s">
        <v>29</v>
      </c>
      <c r="D10" s="9">
        <f>IF(Motor_KORI!A10&gt;Cronograma_KORI!$B$4,"",Motor_KORI!A10)</f>
        <v>8</v>
      </c>
      <c r="E10" s="5">
        <f>IF(D10&gt;$B$4,"",Motor_KORI!D10)</f>
        <v>46403</v>
      </c>
      <c r="F10" s="8">
        <f t="shared" si="0"/>
        <v>3031.365240026159</v>
      </c>
      <c r="G10" s="8">
        <f t="shared" si="1"/>
        <v>327.70840852706357</v>
      </c>
      <c r="H10" s="8">
        <f>IF(D10&gt;$B$4,"",F10*Motor_KORI!G10)</f>
        <v>118.7924586765205</v>
      </c>
      <c r="I10" s="8">
        <f>IF(D10&gt;$B$4,"",IF(MONTH(E10)=MONTH(E9),F10*0*Cronograma_KORI!$B$8,IF(MONTH(E10)=IFERROR(MONTH(E11),0),F10*2*Cronograma_KORI!$B$8,F10*Cronograma_KORI!$B$8)))</f>
        <v>1.849132796415957</v>
      </c>
      <c r="J10" s="8">
        <f>IF(D10&gt;$B$4,"",IF(D10=$B$4,F10+H10+I10,Motor_KORI!$M$3))</f>
        <v>448.35</v>
      </c>
      <c r="K10" s="8">
        <f t="shared" si="2"/>
        <v>0</v>
      </c>
      <c r="L10" s="8">
        <f t="shared" si="3"/>
        <v>448.35</v>
      </c>
      <c r="M10" s="3"/>
      <c r="N10" s="8">
        <f t="shared" si="4"/>
        <v>2296.3431685009045</v>
      </c>
      <c r="O10" s="8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</row>
    <row r="11" spans="1:29" x14ac:dyDescent="0.35">
      <c r="A11" s="32"/>
      <c r="B11" s="32"/>
      <c r="C11" s="32"/>
      <c r="D11" s="9">
        <f>IF(Motor_KORI!A11&gt;Cronograma_KORI!$B$4,"",Motor_KORI!A11)</f>
        <v>9</v>
      </c>
      <c r="E11" s="5">
        <f>IF(D11&gt;$B$4,"",Motor_KORI!D11)</f>
        <v>46434</v>
      </c>
      <c r="F11" s="8">
        <f t="shared" si="0"/>
        <v>2703.6568314990955</v>
      </c>
      <c r="G11" s="8">
        <f t="shared" si="1"/>
        <v>340.75047400361666</v>
      </c>
      <c r="H11" s="8">
        <f>IF(D11&gt;$B$4,"",F11*Motor_KORI!G11)</f>
        <v>105.95029532916894</v>
      </c>
      <c r="I11" s="8">
        <f>IF(D11&gt;$B$4,"",IF(MONTH(E11)=MONTH(E10),F11*0*Cronograma_KORI!$B$8,IF(MONTH(E11)=IFERROR(MONTH(E12),0),F11*2*Cronograma_KORI!$B$8,F11*Cronograma_KORI!$B$8)))</f>
        <v>1.6492306672144481</v>
      </c>
      <c r="J11" s="8">
        <f>IF(D11&gt;$B$4,"",IF(D11=$B$4,F11+H11+I11,Motor_KORI!$M$3))</f>
        <v>448.35</v>
      </c>
      <c r="K11" s="8">
        <f t="shared" si="2"/>
        <v>0</v>
      </c>
      <c r="L11" s="8">
        <f t="shared" si="3"/>
        <v>448.35</v>
      </c>
      <c r="N11" s="8">
        <f t="shared" si="4"/>
        <v>2637.0936425045211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</row>
    <row r="12" spans="1:29" x14ac:dyDescent="0.35">
      <c r="A12" s="32"/>
      <c r="B12" s="32"/>
      <c r="C12" s="32"/>
      <c r="D12" s="9">
        <f>IF(Motor_KORI!A12&gt;Cronograma_KORI!$B$4,"",Motor_KORI!A12)</f>
        <v>10</v>
      </c>
      <c r="E12" s="5">
        <f>IF(D12&gt;$B$4,"",Motor_KORI!D12)</f>
        <v>46462</v>
      </c>
      <c r="F12" s="8">
        <f t="shared" si="0"/>
        <v>2362.9063574954789</v>
      </c>
      <c r="G12" s="8">
        <f t="shared" si="1"/>
        <v>363.42895148750489</v>
      </c>
      <c r="H12" s="8">
        <f>IF(D12&gt;$B$4,"",F12*Motor_KORI!G12)</f>
        <v>83.479675634422904</v>
      </c>
      <c r="I12" s="8">
        <f>IF(D12&gt;$B$4,"",IF(MONTH(E12)=MONTH(E11),F12*0*Cronograma_KORI!$B$8,IF(MONTH(E12)=IFERROR(MONTH(E13),0),F12*2*Cronograma_KORI!$B$8,F12*Cronograma_KORI!$B$8)))</f>
        <v>1.4413728780722421</v>
      </c>
      <c r="J12" s="8">
        <f>IF(D12&gt;$B$4,"",IF(D12=$B$4,F12+H12+I12,Motor_KORI!$M$3))</f>
        <v>448.35</v>
      </c>
      <c r="K12" s="8">
        <f t="shared" si="2"/>
        <v>0</v>
      </c>
      <c r="L12" s="8">
        <f t="shared" si="3"/>
        <v>448.35</v>
      </c>
      <c r="N12" s="8">
        <f t="shared" si="4"/>
        <v>3000.522593992026</v>
      </c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</row>
    <row r="13" spans="1:29" x14ac:dyDescent="0.35">
      <c r="A13" s="32"/>
      <c r="B13" s="32"/>
      <c r="C13" s="32"/>
      <c r="D13" s="9">
        <f>IF(Motor_KORI!A13&gt;Cronograma_KORI!$B$4,"",Motor_KORI!A13)</f>
        <v>11</v>
      </c>
      <c r="E13" s="5">
        <f>IF(D13&gt;$B$4,"",Motor_KORI!D13)</f>
        <v>46493</v>
      </c>
      <c r="F13" s="8">
        <f t="shared" si="0"/>
        <v>1999.477406007974</v>
      </c>
      <c r="G13" s="8">
        <f t="shared" si="1"/>
        <v>368.77524827100711</v>
      </c>
      <c r="H13" s="8">
        <f>IF(D13&gt;$B$4,"",F13*Motor_KORI!G13)</f>
        <v>78.355070511328066</v>
      </c>
      <c r="I13" s="8">
        <f>IF(D13&gt;$B$4,"",IF(MONTH(E13)=MONTH(E12),F13*0*Cronograma_KORI!$B$8,IF(MONTH(E13)=IFERROR(MONTH(E14),0),F13*2*Cronograma_KORI!$B$8,F13*Cronograma_KORI!$B$8)))</f>
        <v>1.2196812176648641</v>
      </c>
      <c r="J13" s="8">
        <f>IF(D13&gt;$B$4,"",IF(D13=$B$4,F13+H13+I13,Motor_KORI!$M$3))</f>
        <v>448.35</v>
      </c>
      <c r="K13" s="8">
        <f t="shared" si="2"/>
        <v>0</v>
      </c>
      <c r="L13" s="8">
        <f t="shared" si="3"/>
        <v>448.35</v>
      </c>
      <c r="N13" s="8">
        <f t="shared" si="4"/>
        <v>3369.2978422630331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1:29" x14ac:dyDescent="0.35">
      <c r="A14" s="32"/>
      <c r="B14" s="32"/>
      <c r="C14" s="32"/>
      <c r="D14" s="9">
        <f>IF(Motor_KORI!A14&gt;Cronograma_KORI!$B$4,"",Motor_KORI!A14)</f>
        <v>12</v>
      </c>
      <c r="E14" s="5">
        <f>IF(D14&gt;$B$4,"",Motor_KORI!D14)</f>
        <v>46524</v>
      </c>
      <c r="F14" s="8">
        <f t="shared" si="0"/>
        <v>1630.7021577369669</v>
      </c>
      <c r="G14" s="8">
        <f t="shared" si="1"/>
        <v>383.45168259168884</v>
      </c>
      <c r="H14" s="8">
        <f>IF(D14&gt;$B$4,"",F14*Motor_KORI!G14)</f>
        <v>63.90358909209165</v>
      </c>
      <c r="I14" s="8">
        <f>IF(D14&gt;$B$4,"",IF(MONTH(E14)=MONTH(E13),F14*0*Cronograma_KORI!$B$8,IF(MONTH(E14)=IFERROR(MONTH(E15),0),F14*2*Cronograma_KORI!$B$8,F14*Cronograma_KORI!$B$8)))</f>
        <v>0.99472831621954982</v>
      </c>
      <c r="J14" s="8">
        <f>IF(D14&gt;$B$4,"",IF(D14=$B$4,F14+H14+I14,Motor_KORI!$M$3))</f>
        <v>448.35</v>
      </c>
      <c r="K14" s="8">
        <f t="shared" si="2"/>
        <v>0</v>
      </c>
      <c r="L14" s="8">
        <f t="shared" si="3"/>
        <v>448.35</v>
      </c>
      <c r="N14" s="8">
        <f t="shared" si="4"/>
        <v>3752.749524854722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</row>
    <row r="15" spans="1:29" x14ac:dyDescent="0.35">
      <c r="A15" s="32"/>
      <c r="B15" s="32"/>
      <c r="C15" s="32"/>
      <c r="D15" s="9">
        <f>IF(Motor_KORI!A15&gt;Cronograma_KORI!$B$4,"",Motor_KORI!A15)</f>
        <v>13</v>
      </c>
      <c r="E15" s="5">
        <f>IF(D15&gt;$B$4,"",Motor_KORI!D15)</f>
        <v>46554</v>
      </c>
      <c r="F15" s="8">
        <f t="shared" si="0"/>
        <v>1247.250475145278</v>
      </c>
      <c r="G15" s="8">
        <f t="shared" si="1"/>
        <v>400.3183842021553</v>
      </c>
      <c r="H15" s="8">
        <f>IF(D15&gt;$B$4,"",F15*Motor_KORI!G15)</f>
        <v>47.270793008006088</v>
      </c>
      <c r="I15" s="8">
        <f>IF(D15&gt;$B$4,"",IF(MONTH(E15)=MONTH(E14),F15*0*Cronograma_KORI!$B$8,IF(MONTH(E15)=IFERROR(MONTH(E16),0),F15*2*Cronograma_KORI!$B$8,F15*Cronograma_KORI!$B$8)))</f>
        <v>0.76082278983861951</v>
      </c>
      <c r="J15" s="8">
        <f>IF(D15&gt;$B$4,"",IF(D15=$B$4,F15+H15+I15,Motor_KORI!$M$3))</f>
        <v>448.35</v>
      </c>
      <c r="K15" s="8">
        <f t="shared" si="2"/>
        <v>0</v>
      </c>
      <c r="L15" s="8">
        <f t="shared" si="3"/>
        <v>448.35</v>
      </c>
      <c r="N15" s="8">
        <f t="shared" si="4"/>
        <v>4153.0679090568774</v>
      </c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</row>
    <row r="16" spans="1:29" x14ac:dyDescent="0.35">
      <c r="A16" s="32"/>
      <c r="B16" s="32"/>
      <c r="C16" s="32"/>
      <c r="D16" s="9">
        <f>IF(Motor_KORI!A16&gt;Cronograma_KORI!$B$4,"",Motor_KORI!A16)</f>
        <v>14</v>
      </c>
      <c r="E16" s="5">
        <f>IF(D16&gt;$B$4,"",Motor_KORI!D16)</f>
        <v>46584</v>
      </c>
      <c r="F16" s="8">
        <f t="shared" si="0"/>
        <v>846.9320909431226</v>
      </c>
      <c r="G16" s="8">
        <f t="shared" si="1"/>
        <v>415.73464517778035</v>
      </c>
      <c r="H16" s="8">
        <f>IF(D16&gt;$B$4,"",F16*Motor_KORI!G16)</f>
        <v>32.098726246744384</v>
      </c>
      <c r="I16" s="8">
        <f>IF(D16&gt;$B$4,"",IF(MONTH(E16)=MONTH(E15),F16*0*Cronograma_KORI!$B$8,IF(MONTH(E16)=IFERROR(MONTH(E17),0),F16*2*Cronograma_KORI!$B$8,F16*Cronograma_KORI!$B$8)))</f>
        <v>0.51662857547530472</v>
      </c>
      <c r="J16" s="8">
        <f>IF(D16&gt;$B$4,"",IF(D16=$B$4,F16+H16+I16,Motor_KORI!$M$3))</f>
        <v>448.35</v>
      </c>
      <c r="K16" s="8">
        <f t="shared" si="2"/>
        <v>0</v>
      </c>
      <c r="L16" s="8">
        <f t="shared" si="3"/>
        <v>448.35</v>
      </c>
      <c r="N16" s="8">
        <f t="shared" si="4"/>
        <v>4568.8025542346577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</row>
    <row r="17" spans="1:29" x14ac:dyDescent="0.35">
      <c r="A17" s="32"/>
      <c r="B17" s="32"/>
      <c r="C17" s="32"/>
      <c r="D17" s="9">
        <f>IF(Motor_KORI!A17&gt;Cronograma_KORI!$B$4,"",Motor_KORI!A17)</f>
        <v>15</v>
      </c>
      <c r="E17" s="5">
        <f>IF(D17&gt;$B$4,"",Motor_KORI!D17)</f>
        <v>46615</v>
      </c>
      <c r="F17" s="8">
        <f t="shared" si="0"/>
        <v>431.19744576534225</v>
      </c>
      <c r="G17" s="8">
        <f t="shared" si="1"/>
        <v>431.19744576534225</v>
      </c>
      <c r="H17" s="8">
        <f>IF(D17&gt;$B$4,"",F17*Motor_KORI!G17)</f>
        <v>16.897668443627921</v>
      </c>
      <c r="I17" s="8">
        <f>IF(D17&gt;$B$4,"",IF(MONTH(E17)=MONTH(E16),F17*0*Cronograma_KORI!$B$8,IF(MONTH(E17)=IFERROR(MONTH(E18),0),F17*2*Cronograma_KORI!$B$8,F17*Cronograma_KORI!$B$8)))</f>
        <v>0.26303044191685876</v>
      </c>
      <c r="J17" s="8">
        <f>IF(D17&gt;$B$4,"",IF(D17=$B$4,F17+H17+I17,Motor_KORI!$M$3))</f>
        <v>448.35814465088703</v>
      </c>
      <c r="K17" s="8">
        <f t="shared" si="2"/>
        <v>0</v>
      </c>
      <c r="L17" s="8">
        <f t="shared" si="3"/>
        <v>448.35814465088703</v>
      </c>
      <c r="N17" s="8">
        <f t="shared" si="4"/>
        <v>5000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x14ac:dyDescent="0.35">
      <c r="A18" s="32"/>
      <c r="B18" s="32"/>
      <c r="C18" s="32"/>
      <c r="D18" s="9" t="str">
        <f>IF(Motor_KORI!A18&gt;Cronograma_KORI!$B$4,"",Motor_KORI!A18)</f>
        <v/>
      </c>
      <c r="E18" s="5" t="str">
        <f>IF(D18&gt;$B$4,"",Motor_KORI!D18)</f>
        <v/>
      </c>
      <c r="F18" s="8" t="str">
        <f t="shared" si="0"/>
        <v/>
      </c>
      <c r="G18" s="8" t="str">
        <f t="shared" si="1"/>
        <v/>
      </c>
      <c r="H18" s="8" t="str">
        <f>IF(D18&gt;$B$4,"",F18*Motor_KORI!G18)</f>
        <v/>
      </c>
      <c r="I18" s="8" t="str">
        <f>IF(D18&gt;$B$4,"",IF(MONTH(E18)=MONTH(E17),F18*0*Cronograma_KORI!$B$8,IF(MONTH(E18)=IFERROR(MONTH(E19),0),F18*2*Cronograma_KORI!$B$8,F18*Cronograma_KORI!$B$8)))</f>
        <v/>
      </c>
      <c r="J18" s="8" t="str">
        <f>IF(D18&gt;$B$4,"",IF(D18=$B$4,F18+H18+I18,Motor_KORI!$M$3))</f>
        <v/>
      </c>
      <c r="K18" s="8" t="str">
        <f t="shared" si="2"/>
        <v/>
      </c>
      <c r="L18" s="8" t="str">
        <f t="shared" si="3"/>
        <v/>
      </c>
      <c r="N18" s="8" t="str">
        <f t="shared" si="4"/>
        <v/>
      </c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35">
      <c r="A19" s="32"/>
      <c r="B19" s="32"/>
      <c r="C19" s="32"/>
      <c r="D19" s="9" t="str">
        <f>IF(Motor_KORI!A19&gt;Cronograma_KORI!$B$4,"",Motor_KORI!A19)</f>
        <v/>
      </c>
      <c r="E19" s="5" t="str">
        <f>IF(D19&gt;$B$4,"",Motor_KORI!D19)</f>
        <v/>
      </c>
      <c r="F19" s="8" t="str">
        <f t="shared" si="0"/>
        <v/>
      </c>
      <c r="G19" s="8" t="str">
        <f t="shared" si="1"/>
        <v/>
      </c>
      <c r="H19" s="8" t="str">
        <f>IF(D19&gt;$B$4,"",F19*Motor_KORI!G19)</f>
        <v/>
      </c>
      <c r="I19" s="8" t="str">
        <f>IF(D19&gt;$B$4,"",IF(MONTH(E19)=MONTH(E18),F19*0*Cronograma_KORI!$B$8,IF(MONTH(E19)=IFERROR(MONTH(E20),0),F19*2*Cronograma_KORI!$B$8,F19*Cronograma_KORI!$B$8)))</f>
        <v/>
      </c>
      <c r="J19" s="8" t="str">
        <f>IF(D19&gt;$B$4,"",IF(D19=$B$4,F19+H19+I19,Motor_KORI!$M$3))</f>
        <v/>
      </c>
      <c r="K19" s="8" t="str">
        <f t="shared" si="2"/>
        <v/>
      </c>
      <c r="L19" s="8" t="str">
        <f t="shared" si="3"/>
        <v/>
      </c>
      <c r="N19" s="8" t="str">
        <f t="shared" si="4"/>
        <v/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x14ac:dyDescent="0.35">
      <c r="A20" s="32"/>
      <c r="B20" s="32"/>
      <c r="C20" s="32"/>
      <c r="D20" s="9" t="str">
        <f>IF(Motor_KORI!A20&gt;Cronograma_KORI!$B$4,"",Motor_KORI!A20)</f>
        <v/>
      </c>
      <c r="E20" s="5" t="str">
        <f>IF(D20&gt;$B$4,"",Motor_KORI!D20)</f>
        <v/>
      </c>
      <c r="F20" s="8" t="str">
        <f t="shared" si="0"/>
        <v/>
      </c>
      <c r="G20" s="8" t="str">
        <f t="shared" si="1"/>
        <v/>
      </c>
      <c r="H20" s="8" t="str">
        <f>IF(D20&gt;$B$4,"",F20*Motor_KORI!G20)</f>
        <v/>
      </c>
      <c r="I20" s="8" t="str">
        <f>IF(D20&gt;$B$4,"",IF(MONTH(E20)=MONTH(E19),F20*0*Cronograma_KORI!$B$8,IF(MONTH(E20)=IFERROR(MONTH(E21),0),F20*2*Cronograma_KORI!$B$8,F20*Cronograma_KORI!$B$8)))</f>
        <v/>
      </c>
      <c r="J20" s="8" t="str">
        <f>IF(D20&gt;$B$4,"",IF(D20=$B$4,F20+H20+I20,Motor_KORI!$M$3))</f>
        <v/>
      </c>
      <c r="K20" s="8" t="str">
        <f t="shared" si="2"/>
        <v/>
      </c>
      <c r="L20" s="8" t="str">
        <f t="shared" si="3"/>
        <v/>
      </c>
      <c r="N20" s="8" t="str">
        <f t="shared" si="4"/>
        <v/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spans="1:29" x14ac:dyDescent="0.35">
      <c r="A21" s="32"/>
      <c r="B21" s="32"/>
      <c r="C21" s="32"/>
      <c r="D21" s="9" t="str">
        <f>IF(Motor_KORI!A21&gt;Cronograma_KORI!$B$4,"",Motor_KORI!A21)</f>
        <v/>
      </c>
      <c r="E21" s="5" t="str">
        <f>IF(D21&gt;$B$4,"",Motor_KORI!D21)</f>
        <v/>
      </c>
      <c r="F21" s="8" t="str">
        <f t="shared" si="0"/>
        <v/>
      </c>
      <c r="G21" s="8" t="str">
        <f t="shared" si="1"/>
        <v/>
      </c>
      <c r="H21" s="8" t="str">
        <f>IF(D21&gt;$B$4,"",F21*Motor_KORI!G21)</f>
        <v/>
      </c>
      <c r="I21" s="8" t="str">
        <f>IF(D21&gt;$B$4,"",IF(MONTH(E21)=MONTH(E20),F21*0*Cronograma_KORI!$B$8,IF(MONTH(E21)=IFERROR(MONTH(E22),0),F21*2*Cronograma_KORI!$B$8,F21*Cronograma_KORI!$B$8)))</f>
        <v/>
      </c>
      <c r="J21" s="8" t="str">
        <f>IF(D21&gt;$B$4,"",IF(D21=$B$4,F21+H21+I21,Motor_KORI!$M$3))</f>
        <v/>
      </c>
      <c r="K21" s="8" t="str">
        <f t="shared" si="2"/>
        <v/>
      </c>
      <c r="L21" s="8" t="str">
        <f t="shared" si="3"/>
        <v/>
      </c>
      <c r="N21" s="8" t="str">
        <f t="shared" si="4"/>
        <v/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</row>
    <row r="22" spans="1:29" x14ac:dyDescent="0.35">
      <c r="A22" s="32"/>
      <c r="B22" s="32"/>
      <c r="C22" s="32"/>
      <c r="D22" s="9" t="str">
        <f>IF(Motor_KORI!A22&gt;Cronograma_KORI!$B$4,"",Motor_KORI!A22)</f>
        <v/>
      </c>
      <c r="E22" s="5" t="str">
        <f>IF(D22&gt;$B$4,"",Motor_KORI!D22)</f>
        <v/>
      </c>
      <c r="F22" s="8" t="str">
        <f t="shared" si="0"/>
        <v/>
      </c>
      <c r="G22" s="8" t="str">
        <f t="shared" si="1"/>
        <v/>
      </c>
      <c r="H22" s="8" t="str">
        <f>IF(D22&gt;$B$4,"",F22*Motor_KORI!G22)</f>
        <v/>
      </c>
      <c r="I22" s="8" t="str">
        <f>IF(D22&gt;$B$4,"",IF(MONTH(E22)=MONTH(E21),F22*0*Cronograma_KORI!$B$8,IF(MONTH(E22)=IFERROR(MONTH(E23),0),F22*2*Cronograma_KORI!$B$8,F22*Cronograma_KORI!$B$8)))</f>
        <v/>
      </c>
      <c r="J22" s="8" t="str">
        <f>IF(D22&gt;$B$4,"",IF(D22=$B$4,F22+H22+I22,Motor_KORI!$M$3))</f>
        <v/>
      </c>
      <c r="K22" s="8" t="str">
        <f t="shared" si="2"/>
        <v/>
      </c>
      <c r="L22" s="8" t="str">
        <f t="shared" si="3"/>
        <v/>
      </c>
      <c r="N22" s="8" t="str">
        <f t="shared" si="4"/>
        <v/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</row>
    <row r="23" spans="1:29" x14ac:dyDescent="0.35">
      <c r="A23" s="32"/>
      <c r="B23" s="32"/>
      <c r="C23" s="32"/>
      <c r="D23" s="9" t="str">
        <f>IF(Motor_KORI!A23&gt;Cronograma_KORI!$B$4,"",Motor_KORI!A23)</f>
        <v/>
      </c>
      <c r="E23" s="5" t="str">
        <f>IF(D23&gt;$B$4,"",Motor_KORI!D23)</f>
        <v/>
      </c>
      <c r="F23" s="8" t="str">
        <f t="shared" si="0"/>
        <v/>
      </c>
      <c r="G23" s="8" t="str">
        <f t="shared" si="1"/>
        <v/>
      </c>
      <c r="H23" s="8" t="str">
        <f>IF(D23&gt;$B$4,"",F23*Motor_KORI!G23)</f>
        <v/>
      </c>
      <c r="I23" s="8" t="str">
        <f>IF(D23&gt;$B$4,"",IF(MONTH(E23)=MONTH(E22),F23*0*Cronograma_KORI!$B$8,IF(MONTH(E23)=IFERROR(MONTH(E24),0),F23*2*Cronograma_KORI!$B$8,F23*Cronograma_KORI!$B$8)))</f>
        <v/>
      </c>
      <c r="J23" s="8" t="str">
        <f>IF(D23&gt;$B$4,"",IF(D23=$B$4,F23+H23+I23,Motor_KORI!$M$3))</f>
        <v/>
      </c>
      <c r="K23" s="8" t="str">
        <f t="shared" si="2"/>
        <v/>
      </c>
      <c r="L23" s="8" t="str">
        <f t="shared" si="3"/>
        <v/>
      </c>
      <c r="N23" s="8" t="str">
        <f t="shared" si="4"/>
        <v/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</row>
    <row r="24" spans="1:29" x14ac:dyDescent="0.35">
      <c r="A24" s="32"/>
      <c r="B24" s="32"/>
      <c r="C24" s="32"/>
      <c r="D24" s="9" t="str">
        <f>IF(Motor_KORI!A24&gt;Cronograma_KORI!$B$4,"",Motor_KORI!A24)</f>
        <v/>
      </c>
      <c r="E24" s="5" t="str">
        <f>IF(D24&gt;$B$4,"",Motor_KORI!D24)</f>
        <v/>
      </c>
      <c r="F24" s="8" t="str">
        <f t="shared" si="0"/>
        <v/>
      </c>
      <c r="G24" s="8" t="str">
        <f t="shared" si="1"/>
        <v/>
      </c>
      <c r="H24" s="8" t="str">
        <f>IF(D24&gt;$B$4,"",F24*Motor_KORI!G24)</f>
        <v/>
      </c>
      <c r="I24" s="8" t="str">
        <f>IF(D24&gt;$B$4,"",IF(MONTH(E24)=MONTH(E23),F24*0*Cronograma_KORI!$B$8,IF(MONTH(E24)=IFERROR(MONTH(E25),0),F24*2*Cronograma_KORI!$B$8,F24*Cronograma_KORI!$B$8)))</f>
        <v/>
      </c>
      <c r="J24" s="8" t="str">
        <f>IF(D24&gt;$B$4,"",IF(D24=$B$4,F24+H24+I24,Motor_KORI!$M$3))</f>
        <v/>
      </c>
      <c r="K24" s="8" t="str">
        <f t="shared" si="2"/>
        <v/>
      </c>
      <c r="L24" s="8" t="str">
        <f t="shared" si="3"/>
        <v/>
      </c>
      <c r="N24" s="8" t="str">
        <f t="shared" si="4"/>
        <v/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</row>
    <row r="25" spans="1:29" x14ac:dyDescent="0.35">
      <c r="A25" s="32"/>
      <c r="B25" s="32"/>
      <c r="C25" s="32"/>
      <c r="D25" s="9" t="str">
        <f>IF(Motor_KORI!A25&gt;Cronograma_KORI!$B$4,"",Motor_KORI!A25)</f>
        <v/>
      </c>
      <c r="E25" s="5" t="str">
        <f>IF(D25&gt;$B$4,"",Motor_KORI!D25)</f>
        <v/>
      </c>
      <c r="F25" s="8" t="str">
        <f t="shared" si="0"/>
        <v/>
      </c>
      <c r="G25" s="8" t="str">
        <f t="shared" si="1"/>
        <v/>
      </c>
      <c r="H25" s="8" t="str">
        <f>IF(D25&gt;$B$4,"",F25*Motor_KORI!G25)</f>
        <v/>
      </c>
      <c r="I25" s="8" t="str">
        <f>IF(D25&gt;$B$4,"",IF(MONTH(E25)=MONTH(E24),F25*0*Cronograma_KORI!$B$8,IF(MONTH(E25)=IFERROR(MONTH(E26),0),F25*2*Cronograma_KORI!$B$8,F25*Cronograma_KORI!$B$8)))</f>
        <v/>
      </c>
      <c r="J25" s="8" t="str">
        <f>IF(D25&gt;$B$4,"",IF(D25=$B$4,F25+H25+I25,Motor_KORI!$M$3))</f>
        <v/>
      </c>
      <c r="K25" s="8" t="str">
        <f t="shared" si="2"/>
        <v/>
      </c>
      <c r="L25" s="8" t="str">
        <f t="shared" si="3"/>
        <v/>
      </c>
      <c r="N25" s="8" t="str">
        <f t="shared" si="4"/>
        <v/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</row>
    <row r="26" spans="1:29" x14ac:dyDescent="0.35">
      <c r="A26" s="32"/>
      <c r="B26" s="32"/>
      <c r="C26" s="32"/>
      <c r="D26" s="9" t="str">
        <f>IF(Motor_KORI!A26&gt;Cronograma_KORI!$B$4,"",Motor_KORI!A26)</f>
        <v/>
      </c>
      <c r="E26" s="5" t="str">
        <f>IF(D26&gt;$B$4,"",Motor_KORI!D26)</f>
        <v/>
      </c>
      <c r="F26" s="8" t="str">
        <f t="shared" si="0"/>
        <v/>
      </c>
      <c r="G26" s="8" t="str">
        <f t="shared" si="1"/>
        <v/>
      </c>
      <c r="H26" s="8" t="str">
        <f>IF(D26&gt;$B$4,"",F26*Motor_KORI!G26)</f>
        <v/>
      </c>
      <c r="I26" s="8" t="str">
        <f>IF(D26&gt;$B$4,"",IF(MONTH(E26)=MONTH(E25),F26*0*Cronograma_KORI!$B$8,IF(MONTH(E26)=IFERROR(MONTH(E27),0),F26*2*Cronograma_KORI!$B$8,F26*Cronograma_KORI!$B$8)))</f>
        <v/>
      </c>
      <c r="J26" s="8" t="str">
        <f>IF(D26&gt;$B$4,"",IF(D26=$B$4,F26+H26+I26,Motor_KORI!$M$3))</f>
        <v/>
      </c>
      <c r="K26" s="8" t="str">
        <f t="shared" si="2"/>
        <v/>
      </c>
      <c r="L26" s="8" t="str">
        <f t="shared" si="3"/>
        <v/>
      </c>
      <c r="N26" s="8" t="str">
        <f t="shared" si="4"/>
        <v/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</row>
    <row r="27" spans="1:29" x14ac:dyDescent="0.35">
      <c r="A27" s="32"/>
      <c r="B27" s="32"/>
      <c r="C27" s="32"/>
      <c r="D27" s="9" t="str">
        <f>IF(Motor_KORI!A27&gt;Cronograma_KORI!$B$4,"",Motor_KORI!A27)</f>
        <v/>
      </c>
      <c r="E27" s="5" t="str">
        <f>IF(D27&gt;$B$4,"",Motor_KORI!D27)</f>
        <v/>
      </c>
      <c r="F27" s="8" t="str">
        <f t="shared" si="0"/>
        <v/>
      </c>
      <c r="G27" s="8" t="str">
        <f t="shared" si="1"/>
        <v/>
      </c>
      <c r="H27" s="8" t="str">
        <f>IF(D27&gt;$B$4,"",F27*Motor_KORI!G27)</f>
        <v/>
      </c>
      <c r="I27" s="8" t="str">
        <f>IF(D27&gt;$B$4,"",IF(MONTH(E27)=MONTH(E26),F27*0*Cronograma_KORI!$B$8,IF(MONTH(E27)=IFERROR(MONTH(E28),0),F27*2*Cronograma_KORI!$B$8,F27*Cronograma_KORI!$B$8)))</f>
        <v/>
      </c>
      <c r="J27" s="8" t="str">
        <f>IF(D27&gt;$B$4,"",IF(D27=$B$4,F27+H27+I27,Motor_KORI!$M$3))</f>
        <v/>
      </c>
      <c r="K27" s="8" t="str">
        <f t="shared" si="2"/>
        <v/>
      </c>
      <c r="L27" s="8" t="str">
        <f t="shared" si="3"/>
        <v/>
      </c>
      <c r="N27" s="8" t="str">
        <f t="shared" si="4"/>
        <v/>
      </c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</row>
    <row r="28" spans="1:29" x14ac:dyDescent="0.35">
      <c r="A28" s="32"/>
      <c r="B28" s="32"/>
      <c r="C28" s="32"/>
      <c r="D28" s="9" t="str">
        <f>IF(Motor_KORI!A28&gt;Cronograma_KORI!$B$4,"",Motor_KORI!A28)</f>
        <v/>
      </c>
      <c r="E28" s="5" t="str">
        <f>IF(D28&gt;$B$4,"",Motor_KORI!D28)</f>
        <v/>
      </c>
      <c r="F28" s="8" t="str">
        <f t="shared" si="0"/>
        <v/>
      </c>
      <c r="G28" s="8" t="str">
        <f t="shared" si="1"/>
        <v/>
      </c>
      <c r="H28" s="8" t="str">
        <f>IF(D28&gt;$B$4,"",F28*Motor_KORI!G28)</f>
        <v/>
      </c>
      <c r="I28" s="8" t="str">
        <f>IF(D28&gt;$B$4,"",IF(MONTH(E28)=MONTH(E27),F28*0*Cronograma_KORI!$B$8,IF(MONTH(E28)=IFERROR(MONTH(E29),0),F28*2*Cronograma_KORI!$B$8,F28*Cronograma_KORI!$B$8)))</f>
        <v/>
      </c>
      <c r="J28" s="8" t="str">
        <f>IF(D28&gt;$B$4,"",IF(D28=$B$4,F28+H28+I28,Motor_KORI!$M$3))</f>
        <v/>
      </c>
      <c r="K28" s="8" t="str">
        <f t="shared" si="2"/>
        <v/>
      </c>
      <c r="L28" s="8" t="str">
        <f t="shared" si="3"/>
        <v/>
      </c>
      <c r="N28" s="8" t="str">
        <f t="shared" si="4"/>
        <v/>
      </c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</row>
    <row r="29" spans="1:29" x14ac:dyDescent="0.35">
      <c r="A29" s="32"/>
      <c r="B29" s="32"/>
      <c r="C29" s="32"/>
      <c r="D29" s="9" t="str">
        <f>IF(Motor_KORI!A29&gt;Cronograma_KORI!$B$4,"",Motor_KORI!A29)</f>
        <v/>
      </c>
      <c r="E29" s="5" t="str">
        <f>IF(D29&gt;$B$4,"",Motor_KORI!D29)</f>
        <v/>
      </c>
      <c r="F29" s="8" t="str">
        <f t="shared" si="0"/>
        <v/>
      </c>
      <c r="G29" s="8" t="str">
        <f t="shared" si="1"/>
        <v/>
      </c>
      <c r="H29" s="8" t="str">
        <f>IF(D29&gt;$B$4,"",F29*Motor_KORI!G29)</f>
        <v/>
      </c>
      <c r="I29" s="8" t="str">
        <f>IF(D29&gt;$B$4,"",IF(MONTH(E29)=MONTH(E28),F29*0*Cronograma_KORI!$B$8,IF(MONTH(E29)=IFERROR(MONTH(E30),0),F29*2*Cronograma_KORI!$B$8,F29*Cronograma_KORI!$B$8)))</f>
        <v/>
      </c>
      <c r="J29" s="8" t="str">
        <f>IF(D29&gt;$B$4,"",IF(D29=$B$4,F29+H29+I29,Motor_KORI!$M$3))</f>
        <v/>
      </c>
      <c r="K29" s="8" t="str">
        <f t="shared" si="2"/>
        <v/>
      </c>
      <c r="L29" s="8" t="str">
        <f t="shared" si="3"/>
        <v/>
      </c>
      <c r="N29" s="8" t="str">
        <f t="shared" si="4"/>
        <v/>
      </c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</row>
    <row r="30" spans="1:29" x14ac:dyDescent="0.35">
      <c r="A30" s="32"/>
      <c r="B30" s="32"/>
      <c r="C30" s="32"/>
      <c r="D30" s="9" t="str">
        <f>IF(Motor_KORI!A30&gt;Cronograma_KORI!$B$4,"",Motor_KORI!A30)</f>
        <v/>
      </c>
      <c r="E30" s="5" t="str">
        <f>IF(D30&gt;$B$4,"",Motor_KORI!D30)</f>
        <v/>
      </c>
      <c r="F30" s="8" t="str">
        <f t="shared" si="0"/>
        <v/>
      </c>
      <c r="G30" s="8" t="str">
        <f t="shared" si="1"/>
        <v/>
      </c>
      <c r="H30" s="8" t="str">
        <f>IF(D30&gt;$B$4,"",F30*Motor_KORI!G30)</f>
        <v/>
      </c>
      <c r="I30" s="8" t="str">
        <f>IF(D30&gt;$B$4,"",IF(MONTH(E30)=MONTH(E29),F30*0*Cronograma_KORI!$B$8,IF(MONTH(E30)=IFERROR(MONTH(E31),0),F30*2*Cronograma_KORI!$B$8,F30*Cronograma_KORI!$B$8)))</f>
        <v/>
      </c>
      <c r="J30" s="8" t="str">
        <f>IF(D30&gt;$B$4,"",IF(D30=$B$4,F30+H30+I30,Motor_KORI!$M$3))</f>
        <v/>
      </c>
      <c r="K30" s="8" t="str">
        <f t="shared" si="2"/>
        <v/>
      </c>
      <c r="L30" s="8" t="str">
        <f t="shared" si="3"/>
        <v/>
      </c>
      <c r="N30" s="8" t="str">
        <f t="shared" si="4"/>
        <v/>
      </c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</row>
    <row r="31" spans="1:29" x14ac:dyDescent="0.35">
      <c r="A31" s="32"/>
      <c r="B31" s="32"/>
      <c r="C31" s="32"/>
      <c r="D31" s="9" t="str">
        <f>IF(Motor_KORI!A31&gt;Cronograma_KORI!$B$4,"",Motor_KORI!A31)</f>
        <v/>
      </c>
      <c r="E31" s="5" t="str">
        <f>IF(D31&gt;$B$4,"",Motor_KORI!D31)</f>
        <v/>
      </c>
      <c r="F31" s="8" t="str">
        <f t="shared" si="0"/>
        <v/>
      </c>
      <c r="G31" s="8" t="str">
        <f t="shared" si="1"/>
        <v/>
      </c>
      <c r="H31" s="8" t="str">
        <f>IF(D31&gt;$B$4,"",F31*Motor_KORI!G31)</f>
        <v/>
      </c>
      <c r="I31" s="8" t="str">
        <f>IF(D31&gt;$B$4,"",IF(MONTH(E31)=MONTH(E30),F31*0*Cronograma_KORI!$B$8,IF(MONTH(E31)=IFERROR(MONTH(E32),0),F31*2*Cronograma_KORI!$B$8,F31*Cronograma_KORI!$B$8)))</f>
        <v/>
      </c>
      <c r="J31" s="8" t="str">
        <f>IF(D31&gt;$B$4,"",IF(D31=$B$4,F31+H31+I31,Motor_KORI!$M$3))</f>
        <v/>
      </c>
      <c r="K31" s="8" t="str">
        <f t="shared" si="2"/>
        <v/>
      </c>
      <c r="L31" s="8" t="str">
        <f t="shared" si="3"/>
        <v/>
      </c>
      <c r="N31" s="8" t="str">
        <f t="shared" si="4"/>
        <v/>
      </c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</row>
    <row r="32" spans="1:29" x14ac:dyDescent="0.35">
      <c r="A32" s="32"/>
      <c r="B32" s="32"/>
      <c r="C32" s="32"/>
      <c r="D32" s="9" t="str">
        <f>IF(Motor_KORI!A32&gt;Cronograma_KORI!$B$4,"",Motor_KORI!A32)</f>
        <v/>
      </c>
      <c r="E32" s="5" t="str">
        <f>IF(D32&gt;$B$4,"",Motor_KORI!D32)</f>
        <v/>
      </c>
      <c r="F32" s="8" t="str">
        <f t="shared" si="0"/>
        <v/>
      </c>
      <c r="G32" s="8" t="str">
        <f t="shared" si="1"/>
        <v/>
      </c>
      <c r="H32" s="8" t="str">
        <f>IF(D32&gt;$B$4,"",F32*Motor_KORI!G32)</f>
        <v/>
      </c>
      <c r="I32" s="8" t="str">
        <f>IF(D32&gt;$B$4,"",IF(MONTH(E32)=MONTH(E31),F32*0*Cronograma_KORI!$B$8,IF(MONTH(E32)=IFERROR(MONTH(E33),0),F32*2*Cronograma_KORI!$B$8,F32*Cronograma_KORI!$B$8)))</f>
        <v/>
      </c>
      <c r="J32" s="8" t="str">
        <f>IF(D32&gt;$B$4,"",IF(D32=$B$4,F32+H32+I32,Motor_KORI!$M$3))</f>
        <v/>
      </c>
      <c r="K32" s="8" t="str">
        <f t="shared" si="2"/>
        <v/>
      </c>
      <c r="L32" s="8" t="str">
        <f t="shared" si="3"/>
        <v/>
      </c>
      <c r="N32" s="8" t="str">
        <f t="shared" si="4"/>
        <v/>
      </c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</row>
    <row r="33" spans="1:29" x14ac:dyDescent="0.35">
      <c r="A33" s="32"/>
      <c r="B33" s="32"/>
      <c r="C33" s="32"/>
      <c r="D33" s="9" t="str">
        <f>IF(Motor_KORI!A33&gt;Cronograma_KORI!$B$4,"",Motor_KORI!A33)</f>
        <v/>
      </c>
      <c r="E33" s="5" t="str">
        <f>IF(D33&gt;$B$4,"",Motor_KORI!D33)</f>
        <v/>
      </c>
      <c r="F33" s="8" t="str">
        <f t="shared" si="0"/>
        <v/>
      </c>
      <c r="G33" s="8" t="str">
        <f t="shared" si="1"/>
        <v/>
      </c>
      <c r="H33" s="8" t="str">
        <f>IF(D33&gt;$B$4,"",F33*Motor_KORI!G33)</f>
        <v/>
      </c>
      <c r="I33" s="8" t="str">
        <f>IF(D33&gt;$B$4,"",IF(MONTH(E33)=MONTH(E32),F33*0*Cronograma_KORI!$B$8,IF(MONTH(E33)=IFERROR(MONTH(E34),0),F33*2*Cronograma_KORI!$B$8,F33*Cronograma_KORI!$B$8)))</f>
        <v/>
      </c>
      <c r="J33" s="8" t="str">
        <f>IF(D33&gt;$B$4,"",IF(D33=$B$4,F33+H33+I33,Motor_KORI!$M$3))</f>
        <v/>
      </c>
      <c r="K33" s="8" t="str">
        <f t="shared" si="2"/>
        <v/>
      </c>
      <c r="L33" s="8" t="str">
        <f t="shared" si="3"/>
        <v/>
      </c>
      <c r="N33" s="8" t="str">
        <f t="shared" si="4"/>
        <v/>
      </c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</row>
    <row r="34" spans="1:29" x14ac:dyDescent="0.35">
      <c r="A34" s="32"/>
      <c r="B34" s="32"/>
      <c r="C34" s="32"/>
      <c r="D34" s="9" t="str">
        <f>IF(Motor_KORI!A34&gt;Cronograma_KORI!$B$4,"",Motor_KORI!A34)</f>
        <v/>
      </c>
      <c r="E34" s="5" t="str">
        <f>IF(D34&gt;$B$4,"",Motor_KORI!D34)</f>
        <v/>
      </c>
      <c r="F34" s="8" t="str">
        <f t="shared" si="0"/>
        <v/>
      </c>
      <c r="G34" s="8" t="str">
        <f t="shared" si="1"/>
        <v/>
      </c>
      <c r="H34" s="8" t="str">
        <f>IF(D34&gt;$B$4,"",F34*Motor_KORI!G34)</f>
        <v/>
      </c>
      <c r="I34" s="8" t="str">
        <f>IF(D34&gt;$B$4,"",IF(MONTH(E34)=MONTH(E33),F34*0*Cronograma_KORI!$B$8,IF(MONTH(E34)=IFERROR(MONTH(E35),0),F34*2*Cronograma_KORI!$B$8,F34*Cronograma_KORI!$B$8)))</f>
        <v/>
      </c>
      <c r="J34" s="8" t="str">
        <f>IF(D34&gt;$B$4,"",IF(D34=$B$4,F34+H34+I34,Motor_KORI!$M$3))</f>
        <v/>
      </c>
      <c r="K34" s="8" t="str">
        <f t="shared" si="2"/>
        <v/>
      </c>
      <c r="L34" s="8" t="str">
        <f t="shared" si="3"/>
        <v/>
      </c>
      <c r="N34" s="8" t="str">
        <f t="shared" si="4"/>
        <v/>
      </c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</row>
    <row r="35" spans="1:29" x14ac:dyDescent="0.35">
      <c r="A35" s="32"/>
      <c r="B35" s="32"/>
      <c r="C35" s="32"/>
      <c r="D35" s="9" t="str">
        <f>IF(Motor_KORI!A35&gt;Cronograma_KORI!$B$4,"",Motor_KORI!A35)</f>
        <v/>
      </c>
      <c r="E35" s="5" t="str">
        <f>IF(D35&gt;$B$4,"",Motor_KORI!D35)</f>
        <v/>
      </c>
      <c r="F35" s="8" t="str">
        <f t="shared" si="0"/>
        <v/>
      </c>
      <c r="G35" s="8" t="str">
        <f t="shared" si="1"/>
        <v/>
      </c>
      <c r="H35" s="8" t="str">
        <f>IF(D35&gt;$B$4,"",F35*Motor_KORI!G35)</f>
        <v/>
      </c>
      <c r="I35" s="8" t="str">
        <f>IF(D35&gt;$B$4,"",IF(MONTH(E35)=MONTH(E34),F35*0*Cronograma_KORI!$B$8,IF(MONTH(E35)=IFERROR(MONTH(E36),0),F35*2*Cronograma_KORI!$B$8,F35*Cronograma_KORI!$B$8)))</f>
        <v/>
      </c>
      <c r="J35" s="8" t="str">
        <f>IF(D35&gt;$B$4,"",IF(D35=$B$4,F35+H35+I35,Motor_KORI!$M$3))</f>
        <v/>
      </c>
      <c r="K35" s="8" t="str">
        <f t="shared" si="2"/>
        <v/>
      </c>
      <c r="L35" s="8" t="str">
        <f t="shared" si="3"/>
        <v/>
      </c>
      <c r="N35" s="8" t="str">
        <f t="shared" si="4"/>
        <v/>
      </c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</row>
    <row r="36" spans="1:29" x14ac:dyDescent="0.35">
      <c r="A36" s="32"/>
      <c r="B36" s="32"/>
      <c r="C36" s="32"/>
      <c r="D36" s="9" t="str">
        <f>IF(Motor_KORI!A36&gt;Cronograma_KORI!$B$4,"",Motor_KORI!A36)</f>
        <v/>
      </c>
      <c r="E36" s="5" t="str">
        <f>IF(D36&gt;$B$4,"",Motor_KORI!D36)</f>
        <v/>
      </c>
      <c r="F36" s="8" t="str">
        <f t="shared" ref="F36:F52" si="5">IF(D36&gt;$B$4,"",F35-G35)</f>
        <v/>
      </c>
      <c r="G36" s="8" t="str">
        <f t="shared" ref="G36:G52" si="6">IF(D36&gt;$B$4,"",J36-I36-H36)</f>
        <v/>
      </c>
      <c r="H36" s="8" t="str">
        <f>IF(D36&gt;$B$4,"",F36*Motor_KORI!G36)</f>
        <v/>
      </c>
      <c r="I36" s="8" t="str">
        <f>IF(D36&gt;$B$4,"",IF(MONTH(E36)=MONTH(E35),F36*0*Cronograma_KORI!$B$8,IF(MONTH(E36)=IFERROR(MONTH(E37),0),F36*2*Cronograma_KORI!$B$8,F36*Cronograma_KORI!$B$8)))</f>
        <v/>
      </c>
      <c r="J36" s="8" t="str">
        <f>IF(D36&gt;$B$4,"",IF(D36=$B$4,F36+H36+I36,Motor_KORI!$M$3))</f>
        <v/>
      </c>
      <c r="K36" s="8" t="str">
        <f t="shared" si="2"/>
        <v/>
      </c>
      <c r="L36" s="8" t="str">
        <f t="shared" si="3"/>
        <v/>
      </c>
      <c r="N36" s="8" t="str">
        <f t="shared" ref="N36:N52" si="7">IF(D36&gt;$B$4,"",G36+N35)</f>
        <v/>
      </c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</row>
    <row r="37" spans="1:29" x14ac:dyDescent="0.35">
      <c r="A37" s="32"/>
      <c r="B37" s="32"/>
      <c r="C37" s="32"/>
      <c r="D37" s="9" t="str">
        <f>IF(Motor_KORI!A37&gt;Cronograma_KORI!$B$4,"",Motor_KORI!A37)</f>
        <v/>
      </c>
      <c r="E37" s="5" t="str">
        <f>IF(D37&gt;$B$4,"",Motor_KORI!D37)</f>
        <v/>
      </c>
      <c r="F37" s="8" t="str">
        <f t="shared" si="5"/>
        <v/>
      </c>
      <c r="G37" s="8" t="str">
        <f t="shared" si="6"/>
        <v/>
      </c>
      <c r="H37" s="8" t="str">
        <f>IF(D37&gt;$B$4,"",F37*Motor_KORI!G37)</f>
        <v/>
      </c>
      <c r="I37" s="8" t="str">
        <f>IF(D37&gt;$B$4,"",IF(MONTH(E37)=MONTH(E36),F37*0*Cronograma_KORI!$B$8,IF(MONTH(E37)=IFERROR(MONTH(E38),0),F37*2*Cronograma_KORI!$B$8,F37*Cronograma_KORI!$B$8)))</f>
        <v/>
      </c>
      <c r="J37" s="8" t="str">
        <f>IF(D37&gt;$B$4,"",IF(D37=$B$4,F37+H37+I37,Motor_KORI!$M$3))</f>
        <v/>
      </c>
      <c r="K37" s="8" t="str">
        <f t="shared" si="2"/>
        <v/>
      </c>
      <c r="L37" s="8" t="str">
        <f t="shared" si="3"/>
        <v/>
      </c>
      <c r="N37" s="8" t="str">
        <f t="shared" si="7"/>
        <v/>
      </c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8" spans="1:29" x14ac:dyDescent="0.35">
      <c r="A38" s="32"/>
      <c r="B38" s="32"/>
      <c r="C38" s="32"/>
      <c r="D38" s="9" t="str">
        <f>IF(Motor_KORI!A38&gt;Cronograma_KORI!$B$4,"",Motor_KORI!A38)</f>
        <v/>
      </c>
      <c r="E38" s="5" t="str">
        <f>IF(D38&gt;$B$4,"",Motor_KORI!D38)</f>
        <v/>
      </c>
      <c r="F38" s="8" t="str">
        <f t="shared" si="5"/>
        <v/>
      </c>
      <c r="G38" s="8" t="str">
        <f t="shared" si="6"/>
        <v/>
      </c>
      <c r="H38" s="8" t="str">
        <f>IF(D38&gt;$B$4,"",F38*Motor_KORI!G38)</f>
        <v/>
      </c>
      <c r="I38" s="8" t="str">
        <f>IF(D38&gt;$B$4,"",IF(MONTH(E38)=MONTH(E37),F38*0*Cronograma_KORI!$B$8,IF(MONTH(E38)=IFERROR(MONTH(E39),0),F38*2*Cronograma_KORI!$B$8,F38*Cronograma_KORI!$B$8)))</f>
        <v/>
      </c>
      <c r="J38" s="8" t="str">
        <f>IF(D38&gt;$B$4,"",IF(D38=$B$4,F38+H38+I38,Motor_KORI!$M$3))</f>
        <v/>
      </c>
      <c r="K38" s="8" t="str">
        <f t="shared" si="2"/>
        <v/>
      </c>
      <c r="L38" s="8" t="str">
        <f t="shared" si="3"/>
        <v/>
      </c>
      <c r="N38" s="8" t="str">
        <f t="shared" si="7"/>
        <v/>
      </c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</row>
    <row r="39" spans="1:29" x14ac:dyDescent="0.35">
      <c r="A39" s="32"/>
      <c r="B39" s="32"/>
      <c r="C39" s="32"/>
      <c r="D39" s="9" t="str">
        <f>IF(Motor_KORI!A39&gt;Cronograma_KORI!$B$4,"",Motor_KORI!A39)</f>
        <v/>
      </c>
      <c r="E39" s="5" t="str">
        <f>IF(D39&gt;$B$4,"",Motor_KORI!D39)</f>
        <v/>
      </c>
      <c r="F39" s="8" t="str">
        <f t="shared" si="5"/>
        <v/>
      </c>
      <c r="G39" s="8" t="str">
        <f t="shared" si="6"/>
        <v/>
      </c>
      <c r="H39" s="8" t="str">
        <f>IF(D39&gt;$B$4,"",F39*Motor_KORI!G39)</f>
        <v/>
      </c>
      <c r="I39" s="8" t="str">
        <f>IF(D39&gt;$B$4,"",IF(MONTH(E39)=MONTH(E38),F39*0*Cronograma_KORI!$B$8,IF(MONTH(E39)=IFERROR(MONTH(E40),0),F39*2*Cronograma_KORI!$B$8,F39*Cronograma_KORI!$B$8)))</f>
        <v/>
      </c>
      <c r="J39" s="8" t="str">
        <f>IF(D39&gt;$B$4,"",IF(D39=$B$4,F39+H39+I39,Motor_KORI!$M$3))</f>
        <v/>
      </c>
      <c r="K39" s="8" t="str">
        <f t="shared" si="2"/>
        <v/>
      </c>
      <c r="L39" s="8" t="str">
        <f t="shared" si="3"/>
        <v/>
      </c>
      <c r="N39" s="8" t="str">
        <f t="shared" si="7"/>
        <v/>
      </c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x14ac:dyDescent="0.35">
      <c r="A40" s="32"/>
      <c r="B40" s="32"/>
      <c r="C40" s="32"/>
      <c r="D40" s="9" t="str">
        <f>IF(Motor_KORI!A40&gt;Cronograma_KORI!$B$4,"",Motor_KORI!A40)</f>
        <v/>
      </c>
      <c r="E40" s="5" t="str">
        <f>IF(D40&gt;$B$4,"",Motor_KORI!D40)</f>
        <v/>
      </c>
      <c r="F40" s="8" t="str">
        <f t="shared" si="5"/>
        <v/>
      </c>
      <c r="G40" s="8" t="str">
        <f t="shared" si="6"/>
        <v/>
      </c>
      <c r="H40" s="8" t="str">
        <f>IF(D40&gt;$B$4,"",F40*Motor_KORI!G40)</f>
        <v/>
      </c>
      <c r="I40" s="8" t="str">
        <f>IF(D40&gt;$B$4,"",IF(MONTH(E40)=MONTH(E39),F40*0*Cronograma_KORI!$B$8,IF(MONTH(E40)=IFERROR(MONTH(E41),0),F40*2*Cronograma_KORI!$B$8,F40*Cronograma_KORI!$B$8)))</f>
        <v/>
      </c>
      <c r="J40" s="8" t="str">
        <f>IF(D40&gt;$B$4,"",IF(D40=$B$4,F40+H40+I40,Motor_KORI!$M$3))</f>
        <v/>
      </c>
      <c r="K40" s="8" t="str">
        <f t="shared" si="2"/>
        <v/>
      </c>
      <c r="L40" s="8" t="str">
        <f t="shared" si="3"/>
        <v/>
      </c>
      <c r="N40" s="8" t="str">
        <f t="shared" si="7"/>
        <v/>
      </c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</row>
    <row r="41" spans="1:29" x14ac:dyDescent="0.35">
      <c r="A41" s="32"/>
      <c r="B41" s="32"/>
      <c r="C41" s="32"/>
      <c r="D41" s="9" t="str">
        <f>IF(Motor_KORI!A41&gt;Cronograma_KORI!$B$4,"",Motor_KORI!A41)</f>
        <v/>
      </c>
      <c r="E41" s="5" t="str">
        <f>IF(D41&gt;$B$4,"",Motor_KORI!D41)</f>
        <v/>
      </c>
      <c r="F41" s="8" t="str">
        <f t="shared" si="5"/>
        <v/>
      </c>
      <c r="G41" s="8" t="str">
        <f t="shared" si="6"/>
        <v/>
      </c>
      <c r="H41" s="8" t="str">
        <f>IF(D41&gt;$B$4,"",F41*Motor_KORI!G41)</f>
        <v/>
      </c>
      <c r="I41" s="8" t="str">
        <f>IF(D41&gt;$B$4,"",IF(MONTH(E41)=MONTH(E40),F41*0*Cronograma_KORI!$B$8,IF(MONTH(E41)=IFERROR(MONTH(E42),0),F41*2*Cronograma_KORI!$B$8,F41*Cronograma_KORI!$B$8)))</f>
        <v/>
      </c>
      <c r="J41" s="8" t="str">
        <f>IF(D41&gt;$B$4,"",IF(D41=$B$4,F41+H41+I41,Motor_KORI!$M$3))</f>
        <v/>
      </c>
      <c r="K41" s="8" t="str">
        <f t="shared" si="2"/>
        <v/>
      </c>
      <c r="L41" s="8" t="str">
        <f t="shared" si="3"/>
        <v/>
      </c>
      <c r="N41" s="8" t="str">
        <f t="shared" si="7"/>
        <v/>
      </c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</row>
    <row r="42" spans="1:29" x14ac:dyDescent="0.35">
      <c r="D42" s="9" t="str">
        <f>IF(Motor_KORI!A42&gt;Cronograma_KORI!$B$4,"",Motor_KORI!A42)</f>
        <v/>
      </c>
      <c r="E42" s="5" t="str">
        <f>IF(D42&gt;$B$4,"",Motor_KORI!D42)</f>
        <v/>
      </c>
      <c r="F42" s="8" t="str">
        <f t="shared" si="5"/>
        <v/>
      </c>
      <c r="G42" s="8" t="str">
        <f t="shared" si="6"/>
        <v/>
      </c>
      <c r="H42" s="8" t="str">
        <f>IF(D42&gt;$B$4,"",F42*Motor_KORI!G42)</f>
        <v/>
      </c>
      <c r="I42" s="8" t="str">
        <f>IF(D42&gt;$B$4,"",IF(MONTH(E42)=MONTH(E41),F42*0*Cronograma_KORI!$B$8,IF(MONTH(E42)=IFERROR(MONTH(E43),0),F42*2*Cronograma_KORI!$B$8,F42*Cronograma_KORI!$B$8)))</f>
        <v/>
      </c>
      <c r="J42" s="8" t="str">
        <f>IF(D42&gt;$B$4,"",IF(D42=$B$4,F42+H42+I42,Motor_KORI!$M$3))</f>
        <v/>
      </c>
      <c r="K42" s="8" t="str">
        <f t="shared" si="2"/>
        <v/>
      </c>
      <c r="L42" s="8" t="str">
        <f t="shared" si="3"/>
        <v/>
      </c>
      <c r="N42" s="8" t="str">
        <f t="shared" si="7"/>
        <v/>
      </c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29" x14ac:dyDescent="0.35">
      <c r="D43" s="9" t="str">
        <f>IF(Motor_KORI!A43&gt;Cronograma_KORI!$B$4,"",Motor_KORI!A43)</f>
        <v/>
      </c>
      <c r="E43" s="5" t="str">
        <f>IF(D43&gt;$B$4,"",Motor_KORI!D43)</f>
        <v/>
      </c>
      <c r="F43" s="8" t="str">
        <f t="shared" si="5"/>
        <v/>
      </c>
      <c r="G43" s="8" t="str">
        <f t="shared" si="6"/>
        <v/>
      </c>
      <c r="H43" s="8" t="str">
        <f>IF(D43&gt;$B$4,"",F43*Motor_KORI!G43)</f>
        <v/>
      </c>
      <c r="I43" s="8" t="str">
        <f>IF(D43&gt;$B$4,"",IF(MONTH(E43)=MONTH(E42),F43*0*Cronograma_KORI!$B$8,IF(MONTH(E43)=IFERROR(MONTH(E44),0),F43*2*Cronograma_KORI!$B$8,F43*Cronograma_KORI!$B$8)))</f>
        <v/>
      </c>
      <c r="J43" s="8" t="str">
        <f>IF(D43&gt;$B$4,"",IF(D43=$B$4,F43+H43+I43,Motor_KORI!$M$3))</f>
        <v/>
      </c>
      <c r="K43" s="8" t="str">
        <f t="shared" si="2"/>
        <v/>
      </c>
      <c r="L43" s="8" t="str">
        <f t="shared" si="3"/>
        <v/>
      </c>
      <c r="N43" s="8" t="str">
        <f t="shared" si="7"/>
        <v/>
      </c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x14ac:dyDescent="0.35">
      <c r="D44" s="9" t="str">
        <f>IF(Motor_KORI!A44&gt;Cronograma_KORI!$B$4,"",Motor_KORI!A44)</f>
        <v/>
      </c>
      <c r="E44" s="5" t="str">
        <f>IF(D44&gt;$B$4,"",Motor_KORI!D44)</f>
        <v/>
      </c>
      <c r="F44" s="8" t="str">
        <f t="shared" si="5"/>
        <v/>
      </c>
      <c r="G44" s="8" t="str">
        <f t="shared" si="6"/>
        <v/>
      </c>
      <c r="H44" s="8" t="str">
        <f>IF(D44&gt;$B$4,"",F44*Motor_KORI!G44)</f>
        <v/>
      </c>
      <c r="I44" s="8" t="str">
        <f>IF(D44&gt;$B$4,"",IF(MONTH(E44)=MONTH(E43),F44*0*Cronograma_KORI!$B$8,IF(MONTH(E44)=IFERROR(MONTH(E45),0),F44*2*Cronograma_KORI!$B$8,F44*Cronograma_KORI!$B$8)))</f>
        <v/>
      </c>
      <c r="J44" s="8" t="str">
        <f>IF(D44&gt;$B$4,"",IF(D44=$B$4,F44+H44+I44,Motor_KORI!$M$3))</f>
        <v/>
      </c>
      <c r="K44" s="8" t="str">
        <f t="shared" si="2"/>
        <v/>
      </c>
      <c r="L44" s="8" t="str">
        <f t="shared" si="3"/>
        <v/>
      </c>
      <c r="N44" s="8" t="str">
        <f t="shared" si="7"/>
        <v/>
      </c>
    </row>
    <row r="45" spans="1:29" x14ac:dyDescent="0.35">
      <c r="D45" s="9" t="str">
        <f>IF(Motor_KORI!A45&gt;Cronograma_KORI!$B$4,"",Motor_KORI!A45)</f>
        <v/>
      </c>
      <c r="E45" s="5" t="str">
        <f>IF(D45&gt;$B$4,"",Motor_KORI!D45)</f>
        <v/>
      </c>
      <c r="F45" s="8" t="str">
        <f t="shared" si="5"/>
        <v/>
      </c>
      <c r="G45" s="8" t="str">
        <f t="shared" si="6"/>
        <v/>
      </c>
      <c r="H45" s="8" t="str">
        <f>IF(D45&gt;$B$4,"",F45*Motor_KORI!G45)</f>
        <v/>
      </c>
      <c r="I45" s="8" t="str">
        <f>IF(D45&gt;$B$4,"",IF(MONTH(E45)=MONTH(E44),F45*0*Cronograma_KORI!$B$8,IF(MONTH(E45)=IFERROR(MONTH(E46),0),F45*2*Cronograma_KORI!$B$8,F45*Cronograma_KORI!$B$8)))</f>
        <v/>
      </c>
      <c r="J45" s="8" t="str">
        <f>IF(D45&gt;$B$4,"",IF(D45=$B$4,F45+H45+I45,Motor_KORI!$M$3))</f>
        <v/>
      </c>
      <c r="K45" s="8" t="str">
        <f t="shared" si="2"/>
        <v/>
      </c>
      <c r="L45" s="8" t="str">
        <f t="shared" si="3"/>
        <v/>
      </c>
      <c r="N45" s="8" t="str">
        <f t="shared" si="7"/>
        <v/>
      </c>
    </row>
    <row r="46" spans="1:29" x14ac:dyDescent="0.35">
      <c r="D46" s="9" t="str">
        <f>IF(Motor_KORI!A46&gt;Cronograma_KORI!$B$4,"",Motor_KORI!A46)</f>
        <v/>
      </c>
      <c r="E46" s="5" t="str">
        <f>IF(D46&gt;$B$4,"",Motor_KORI!D46)</f>
        <v/>
      </c>
      <c r="F46" s="8" t="str">
        <f t="shared" si="5"/>
        <v/>
      </c>
      <c r="G46" s="8" t="str">
        <f t="shared" si="6"/>
        <v/>
      </c>
      <c r="H46" s="8" t="str">
        <f>IF(D46&gt;$B$4,"",F46*Motor_KORI!G46)</f>
        <v/>
      </c>
      <c r="I46" s="8" t="str">
        <f>IF(D46&gt;$B$4,"",IF(MONTH(E46)=MONTH(E45),F46*0*Cronograma_KORI!$B$8,IF(MONTH(E46)=IFERROR(MONTH(E47),0),F46*2*Cronograma_KORI!$B$8,F46*Cronograma_KORI!$B$8)))</f>
        <v/>
      </c>
      <c r="J46" s="8" t="str">
        <f>IF(D46&gt;$B$4,"",IF(D46=$B$4,F46+H46+I46,Motor_KORI!$M$3))</f>
        <v/>
      </c>
      <c r="K46" s="8" t="str">
        <f t="shared" si="2"/>
        <v/>
      </c>
      <c r="L46" s="8" t="str">
        <f t="shared" si="3"/>
        <v/>
      </c>
      <c r="N46" s="8" t="str">
        <f t="shared" si="7"/>
        <v/>
      </c>
    </row>
    <row r="47" spans="1:29" x14ac:dyDescent="0.35">
      <c r="D47" s="9" t="str">
        <f>IF(Motor_KORI!A47&gt;Cronograma_KORI!$B$4,"",Motor_KORI!A47)</f>
        <v/>
      </c>
      <c r="E47" s="5" t="str">
        <f>IF(D47&gt;$B$4,"",Motor_KORI!D47)</f>
        <v/>
      </c>
      <c r="F47" s="8" t="str">
        <f t="shared" si="5"/>
        <v/>
      </c>
      <c r="G47" s="8" t="str">
        <f t="shared" si="6"/>
        <v/>
      </c>
      <c r="H47" s="8" t="str">
        <f>IF(D47&gt;$B$4,"",F47*Motor_KORI!G47)</f>
        <v/>
      </c>
      <c r="I47" s="8" t="str">
        <f>IF(D47&gt;$B$4,"",IF(MONTH(E47)=MONTH(E46),F47*0*Cronograma_KORI!$B$8,IF(MONTH(E47)=IFERROR(MONTH(E48),0),F47*2*Cronograma_KORI!$B$8,F47*Cronograma_KORI!$B$8)))</f>
        <v/>
      </c>
      <c r="J47" s="8" t="str">
        <f>IF(D47&gt;$B$4,"",IF(D47=$B$4,F47+H47+I47,Motor_KORI!$M$3))</f>
        <v/>
      </c>
      <c r="K47" s="8" t="str">
        <f t="shared" si="2"/>
        <v/>
      </c>
      <c r="L47" s="8" t="str">
        <f t="shared" si="3"/>
        <v/>
      </c>
      <c r="N47" s="8" t="str">
        <f t="shared" si="7"/>
        <v/>
      </c>
    </row>
    <row r="48" spans="1:29" x14ac:dyDescent="0.35">
      <c r="D48" s="9" t="str">
        <f>IF(Motor_KORI!A48&gt;Cronograma_KORI!$B$4,"",Motor_KORI!A48)</f>
        <v/>
      </c>
      <c r="E48" s="5" t="str">
        <f>IF(D48&gt;$B$4,"",Motor_KORI!D48)</f>
        <v/>
      </c>
      <c r="F48" s="8" t="str">
        <f t="shared" si="5"/>
        <v/>
      </c>
      <c r="G48" s="8" t="str">
        <f t="shared" si="6"/>
        <v/>
      </c>
      <c r="H48" s="8" t="str">
        <f>IF(D48&gt;$B$4,"",F48*Motor_KORI!G48)</f>
        <v/>
      </c>
      <c r="I48" s="8" t="str">
        <f>IF(D48&gt;$B$4,"",IF(MONTH(E48)=MONTH(E47),F48*0*Cronograma_KORI!$B$8,IF(MONTH(E48)=IFERROR(MONTH(E49),0),F48*2*Cronograma_KORI!$B$8,F48*Cronograma_KORI!$B$8)))</f>
        <v/>
      </c>
      <c r="J48" s="8" t="str">
        <f>IF(D48&gt;$B$4,"",IF(D48=$B$4,F48+H48+I48,Motor_KORI!$M$3))</f>
        <v/>
      </c>
      <c r="K48" s="8" t="str">
        <f t="shared" si="2"/>
        <v/>
      </c>
      <c r="L48" s="8" t="str">
        <f t="shared" si="3"/>
        <v/>
      </c>
      <c r="N48" s="8" t="str">
        <f t="shared" si="7"/>
        <v/>
      </c>
    </row>
    <row r="49" spans="1:14" x14ac:dyDescent="0.35">
      <c r="D49" s="9" t="str">
        <f>IF(Motor_KORI!A49&gt;Cronograma_KORI!$B$4,"",Motor_KORI!A49)</f>
        <v/>
      </c>
      <c r="E49" s="5" t="str">
        <f>IF(D49&gt;$B$4,"",Motor_KORI!D49)</f>
        <v/>
      </c>
      <c r="F49" s="8" t="str">
        <f t="shared" si="5"/>
        <v/>
      </c>
      <c r="G49" s="8" t="str">
        <f t="shared" si="6"/>
        <v/>
      </c>
      <c r="H49" s="8" t="str">
        <f>IF(D49&gt;$B$4,"",F49*Motor_KORI!G49)</f>
        <v/>
      </c>
      <c r="I49" s="8" t="str">
        <f>IF(D49&gt;$B$4,"",IF(MONTH(E49)=MONTH(E48),F49*0*Cronograma_KORI!$B$8,IF(MONTH(E49)=IFERROR(MONTH(E50),0),F49*2*Cronograma_KORI!$B$8,F49*Cronograma_KORI!$B$8)))</f>
        <v/>
      </c>
      <c r="J49" s="8" t="str">
        <f>IF(D49&gt;$B$4,"",IF(D49=$B$4,F49+H49+I49,Motor_KORI!$M$3))</f>
        <v/>
      </c>
      <c r="K49" s="8" t="str">
        <f t="shared" si="2"/>
        <v/>
      </c>
      <c r="L49" s="8" t="str">
        <f t="shared" si="3"/>
        <v/>
      </c>
      <c r="N49" s="8" t="str">
        <f t="shared" si="7"/>
        <v/>
      </c>
    </row>
    <row r="50" spans="1:14" x14ac:dyDescent="0.35">
      <c r="D50" s="9" t="str">
        <f>IF(Motor_KORI!A50&gt;Cronograma_KORI!$B$4,"",Motor_KORI!A50)</f>
        <v/>
      </c>
      <c r="E50" s="5" t="str">
        <f>IF(D50&gt;$B$4,"",Motor_KORI!D50)</f>
        <v/>
      </c>
      <c r="F50" s="8" t="str">
        <f t="shared" si="5"/>
        <v/>
      </c>
      <c r="G50" s="8" t="str">
        <f t="shared" si="6"/>
        <v/>
      </c>
      <c r="H50" s="8" t="str">
        <f>IF(D50&gt;$B$4,"",F50*Motor_KORI!G50)</f>
        <v/>
      </c>
      <c r="I50" s="8" t="str">
        <f>IF(D50&gt;$B$4,"",IF(MONTH(E50)=MONTH(E49),F50*0*Cronograma_KORI!$B$8,IF(MONTH(E50)=IFERROR(MONTH(E51),0),F50*2*Cronograma_KORI!$B$8,F50*Cronograma_KORI!$B$8)))</f>
        <v/>
      </c>
      <c r="J50" s="8" t="str">
        <f>IF(D50&gt;$B$4,"",IF(D50=$B$4,F50+H50+I50,Motor_KORI!$M$3))</f>
        <v/>
      </c>
      <c r="K50" s="8" t="str">
        <f t="shared" si="2"/>
        <v/>
      </c>
      <c r="L50" s="8" t="str">
        <f t="shared" si="3"/>
        <v/>
      </c>
      <c r="N50" s="8" t="str">
        <f t="shared" si="7"/>
        <v/>
      </c>
    </row>
    <row r="51" spans="1:14" x14ac:dyDescent="0.35">
      <c r="D51" s="9" t="str">
        <f>IF(Motor_KORI!A51&gt;Cronograma_KORI!$B$4,"",Motor_KORI!A51)</f>
        <v/>
      </c>
      <c r="E51" s="5" t="str">
        <f>IF(D51&gt;$B$4,"",Motor_KORI!D51)</f>
        <v/>
      </c>
      <c r="F51" s="8" t="str">
        <f t="shared" si="5"/>
        <v/>
      </c>
      <c r="G51" s="8" t="str">
        <f t="shared" si="6"/>
        <v/>
      </c>
      <c r="H51" s="8" t="str">
        <f>IF(D51&gt;$B$4,"",F51*Motor_KORI!G51)</f>
        <v/>
      </c>
      <c r="I51" s="8" t="str">
        <f>IF(D51&gt;$B$4,"",IF(MONTH(E51)=MONTH(E50),F51*0*Cronograma_KORI!$B$8,IF(MONTH(E51)=IFERROR(MONTH(E52),0),F51*2*Cronograma_KORI!$B$8,F51*Cronograma_KORI!$B$8)))</f>
        <v/>
      </c>
      <c r="J51" s="8" t="str">
        <f>IF(D51&gt;$B$4,"",IF(D51=$B$4,F51+H51+I51,Motor_KORI!$M$3))</f>
        <v/>
      </c>
      <c r="K51" s="8" t="str">
        <f t="shared" si="2"/>
        <v/>
      </c>
      <c r="L51" s="8" t="str">
        <f t="shared" si="3"/>
        <v/>
      </c>
      <c r="N51" s="8" t="str">
        <f t="shared" si="7"/>
        <v/>
      </c>
    </row>
    <row r="52" spans="1:14" x14ac:dyDescent="0.35">
      <c r="A52" s="13"/>
      <c r="B52" s="13"/>
      <c r="D52" s="9" t="str">
        <f>IF(Motor_KORI!A52&gt;Cronograma_KORI!$B$4,"",Motor_KORI!A52)</f>
        <v/>
      </c>
      <c r="E52" s="5" t="str">
        <f>IF(D52&gt;$B$4,"",Motor_KORI!D52)</f>
        <v/>
      </c>
      <c r="F52" s="8" t="str">
        <f t="shared" si="5"/>
        <v/>
      </c>
      <c r="G52" s="8" t="str">
        <f t="shared" si="6"/>
        <v/>
      </c>
      <c r="H52" s="8" t="str">
        <f>IF(D52&gt;$B$4,"",F52*Motor_KORI!G52)</f>
        <v/>
      </c>
      <c r="I52" s="8" t="str">
        <f>IF(D52&gt;$B$4,"",IF(MONTH(E52)=MONTH(E51),F52*0*Cronograma_KORI!$B$8,IF(MONTH(E52)=IFERROR(MONTH(E53),0),F52*2*Cronograma_KORI!$B$8,F52*Cronograma_KORI!$B$8)))</f>
        <v/>
      </c>
      <c r="J52" s="8" t="str">
        <f>IF(D52&gt;$B$4,"",IF(D52=$B$4,F52+H52+I52,Motor_KORI!$M$3))</f>
        <v/>
      </c>
      <c r="K52" s="8" t="str">
        <f t="shared" si="2"/>
        <v/>
      </c>
      <c r="L52" s="8" t="str">
        <f t="shared" si="3"/>
        <v/>
      </c>
      <c r="N52" s="8" t="str">
        <f t="shared" si="7"/>
        <v/>
      </c>
    </row>
    <row r="53" spans="1:14" s="13" customFormat="1" x14ac:dyDescent="0.35">
      <c r="A53"/>
      <c r="B53"/>
      <c r="D53" s="14"/>
      <c r="E53" s="15"/>
      <c r="L53" s="23"/>
    </row>
  </sheetData>
  <dataValidations count="2">
    <dataValidation type="custom" allowBlank="1" showInputMessage="1" showErrorMessage="1" errorTitle="Valor incorrecto" error="Ingrese un valor dentro de 1 - 31" sqref="B6" xr:uid="{01EB7DDE-D9E1-4B87-9718-B956FB2C656D}">
      <formula1>AND(B6&lt;32,B6&gt;0)</formula1>
    </dataValidation>
    <dataValidation type="custom" allowBlank="1" showInputMessage="1" showErrorMessage="1" sqref="B4" xr:uid="{B91ABEC2-6241-4214-BEDB-21B4C3DE9E86}">
      <formula1>B4&lt;49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D88B545-A13F-49E0-90FE-BABE19621477}">
          <x14:formula1>
            <xm:f>Tarifario_KORI!$E$2:$E$3</xm:f>
          </x14:formula1>
          <xm:sqref>B10</xm:sqref>
        </x14:dataValidation>
        <x14:dataValidation type="list" allowBlank="1" showInputMessage="1" showErrorMessage="1" xr:uid="{F24DB313-C999-4E34-B3B0-8F2B7CF83AC6}">
          <x14:formula1>
            <xm:f>Tarifario_KORI!$C$1:$C$40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25BB-4A2F-44EF-BC3E-8CA2525629F4}">
  <dimension ref="A1:F87"/>
  <sheetViews>
    <sheetView zoomScaleNormal="100" workbookViewId="0">
      <selection activeCell="D6" sqref="D6"/>
    </sheetView>
  </sheetViews>
  <sheetFormatPr baseColWidth="10" defaultRowHeight="14.5" x14ac:dyDescent="0.35"/>
  <cols>
    <col min="6" max="6" width="10.90625" style="28"/>
  </cols>
  <sheetData>
    <row r="1" spans="1:6" x14ac:dyDescent="0.35">
      <c r="A1" s="38">
        <v>1</v>
      </c>
      <c r="B1" s="39">
        <f>ROUND((1+C1)^(1/12)-1,4)</f>
        <v>2.0899999999999998E-2</v>
      </c>
      <c r="C1" s="40">
        <v>0.28170000000000001</v>
      </c>
      <c r="D1" s="31"/>
      <c r="E1" s="38" t="s">
        <v>30</v>
      </c>
      <c r="F1" s="37" t="s">
        <v>32</v>
      </c>
    </row>
    <row r="2" spans="1:6" x14ac:dyDescent="0.35">
      <c r="A2" s="38">
        <v>2</v>
      </c>
      <c r="B2" s="39">
        <f t="shared" ref="B2:B40" si="0">ROUND((1+C2)^(1/12)-1,4)</f>
        <v>2.1899999999999999E-2</v>
      </c>
      <c r="C2" s="40">
        <v>0.2969</v>
      </c>
      <c r="D2" s="31"/>
      <c r="E2" s="38" t="s">
        <v>29</v>
      </c>
      <c r="F2" s="37">
        <v>6.0999999999999997E-4</v>
      </c>
    </row>
    <row r="3" spans="1:6" x14ac:dyDescent="0.35">
      <c r="A3" s="38">
        <v>3</v>
      </c>
      <c r="B3" s="39">
        <f t="shared" si="0"/>
        <v>2.29E-2</v>
      </c>
      <c r="C3" s="40">
        <v>0.31219999999999998</v>
      </c>
      <c r="D3" s="31"/>
      <c r="E3" s="38" t="s">
        <v>31</v>
      </c>
    </row>
    <row r="4" spans="1:6" x14ac:dyDescent="0.35">
      <c r="A4" s="38">
        <v>4</v>
      </c>
      <c r="B4" s="39">
        <f t="shared" si="0"/>
        <v>2.3900000000000001E-2</v>
      </c>
      <c r="C4" s="40">
        <v>0.32769999999999999</v>
      </c>
      <c r="D4" s="31"/>
    </row>
    <row r="5" spans="1:6" x14ac:dyDescent="0.35">
      <c r="A5" s="38">
        <v>5</v>
      </c>
      <c r="B5" s="39">
        <f t="shared" si="0"/>
        <v>2.4899999999999999E-2</v>
      </c>
      <c r="C5" s="40">
        <v>0.34329999999999999</v>
      </c>
      <c r="D5" s="31"/>
    </row>
    <row r="6" spans="1:6" x14ac:dyDescent="0.35">
      <c r="A6" s="38">
        <v>6</v>
      </c>
      <c r="B6" s="39">
        <f t="shared" si="0"/>
        <v>2.5899999999999999E-2</v>
      </c>
      <c r="C6" s="40">
        <v>0.35909999999999997</v>
      </c>
      <c r="D6" s="31"/>
    </row>
    <row r="7" spans="1:6" x14ac:dyDescent="0.35">
      <c r="A7" s="38">
        <v>7</v>
      </c>
      <c r="B7" s="39">
        <f t="shared" si="0"/>
        <v>2.69E-2</v>
      </c>
      <c r="C7" s="40">
        <v>0.37509999999999999</v>
      </c>
      <c r="D7" s="31"/>
    </row>
    <row r="8" spans="1:6" x14ac:dyDescent="0.35">
      <c r="A8" s="38">
        <v>8</v>
      </c>
      <c r="B8" s="39">
        <f t="shared" si="0"/>
        <v>2.7900000000000001E-2</v>
      </c>
      <c r="C8" s="40">
        <v>0.39129999999999998</v>
      </c>
      <c r="D8" s="31"/>
    </row>
    <row r="9" spans="1:6" x14ac:dyDescent="0.35">
      <c r="A9" s="38">
        <v>9</v>
      </c>
      <c r="B9" s="39">
        <f t="shared" si="0"/>
        <v>2.8899999999999999E-2</v>
      </c>
      <c r="C9" s="40">
        <v>0.40760000000000002</v>
      </c>
      <c r="D9" s="31"/>
    </row>
    <row r="10" spans="1:6" x14ac:dyDescent="0.35">
      <c r="A10" s="38">
        <v>10</v>
      </c>
      <c r="B10" s="39">
        <f t="shared" si="0"/>
        <v>2.9899999999999999E-2</v>
      </c>
      <c r="C10" s="40">
        <v>0.42409999999999998</v>
      </c>
      <c r="D10" s="31"/>
    </row>
    <row r="11" spans="1:6" x14ac:dyDescent="0.35">
      <c r="A11" s="38">
        <v>11</v>
      </c>
      <c r="B11" s="39">
        <f t="shared" si="0"/>
        <v>3.09E-2</v>
      </c>
      <c r="C11" s="40">
        <v>0.44080000000000003</v>
      </c>
      <c r="D11" s="31"/>
    </row>
    <row r="12" spans="1:6" x14ac:dyDescent="0.35">
      <c r="A12" s="38">
        <v>12</v>
      </c>
      <c r="B12" s="39">
        <f t="shared" si="0"/>
        <v>3.1899999999999998E-2</v>
      </c>
      <c r="C12" s="40">
        <v>0.45760000000000001</v>
      </c>
      <c r="D12" s="31"/>
    </row>
    <row r="13" spans="1:6" x14ac:dyDescent="0.35">
      <c r="A13" s="38">
        <v>13</v>
      </c>
      <c r="B13" s="39">
        <f t="shared" si="0"/>
        <v>3.2899999999999999E-2</v>
      </c>
      <c r="C13" s="40">
        <v>0.47470000000000001</v>
      </c>
      <c r="D13" s="31"/>
    </row>
    <row r="14" spans="1:6" x14ac:dyDescent="0.35">
      <c r="A14" s="38">
        <v>14</v>
      </c>
      <c r="B14" s="39">
        <f t="shared" si="0"/>
        <v>3.39E-2</v>
      </c>
      <c r="C14" s="40">
        <v>0.4919</v>
      </c>
      <c r="D14" s="31"/>
    </row>
    <row r="15" spans="1:6" x14ac:dyDescent="0.35">
      <c r="A15" s="38">
        <v>15</v>
      </c>
      <c r="B15" s="39">
        <f t="shared" si="0"/>
        <v>3.49E-2</v>
      </c>
      <c r="C15" s="40">
        <v>0.50929999999999997</v>
      </c>
      <c r="D15" s="31"/>
    </row>
    <row r="16" spans="1:6" x14ac:dyDescent="0.35">
      <c r="A16" s="38">
        <v>16</v>
      </c>
      <c r="B16" s="39">
        <f t="shared" si="0"/>
        <v>3.5900000000000001E-2</v>
      </c>
      <c r="C16" s="40">
        <v>0.52690000000000003</v>
      </c>
      <c r="D16" s="31"/>
    </row>
    <row r="17" spans="1:4" x14ac:dyDescent="0.35">
      <c r="A17" s="38">
        <v>17</v>
      </c>
      <c r="B17" s="39">
        <f t="shared" si="0"/>
        <v>3.6900000000000002E-2</v>
      </c>
      <c r="C17" s="40">
        <v>0.54469999999999996</v>
      </c>
      <c r="D17" s="31"/>
    </row>
    <row r="18" spans="1:4" x14ac:dyDescent="0.35">
      <c r="A18" s="38">
        <v>18</v>
      </c>
      <c r="B18" s="39">
        <f t="shared" si="0"/>
        <v>3.7900000000000003E-2</v>
      </c>
      <c r="C18" s="40">
        <v>0.56269999999999998</v>
      </c>
      <c r="D18" s="31"/>
    </row>
    <row r="19" spans="1:4" x14ac:dyDescent="0.35">
      <c r="A19" s="38">
        <v>19</v>
      </c>
      <c r="B19" s="39">
        <f t="shared" si="0"/>
        <v>3.8899999999999997E-2</v>
      </c>
      <c r="C19" s="40">
        <v>0.58079999999999998</v>
      </c>
      <c r="D19" s="31"/>
    </row>
    <row r="20" spans="1:4" x14ac:dyDescent="0.35">
      <c r="A20" s="38">
        <v>20</v>
      </c>
      <c r="B20" s="39">
        <f t="shared" si="0"/>
        <v>3.9899999999999998E-2</v>
      </c>
      <c r="C20" s="40">
        <v>0.59919999999999995</v>
      </c>
      <c r="D20" s="31"/>
    </row>
    <row r="21" spans="1:4" x14ac:dyDescent="0.35">
      <c r="A21" s="38">
        <v>21</v>
      </c>
      <c r="B21" s="39">
        <f t="shared" si="0"/>
        <v>4.0899999999999999E-2</v>
      </c>
      <c r="C21" s="40">
        <v>0.61770000000000003</v>
      </c>
      <c r="D21" s="31"/>
    </row>
    <row r="22" spans="1:4" x14ac:dyDescent="0.35">
      <c r="A22" s="38">
        <v>22</v>
      </c>
      <c r="B22" s="39">
        <f t="shared" si="0"/>
        <v>4.19E-2</v>
      </c>
      <c r="C22" s="40">
        <v>0.63649999999999995</v>
      </c>
      <c r="D22" s="31"/>
    </row>
    <row r="23" spans="1:4" x14ac:dyDescent="0.35">
      <c r="A23" s="38">
        <v>23</v>
      </c>
      <c r="B23" s="39">
        <f t="shared" si="0"/>
        <v>4.2900000000000001E-2</v>
      </c>
      <c r="C23" s="40">
        <v>0.65539999999999998</v>
      </c>
      <c r="D23" s="31"/>
    </row>
    <row r="24" spans="1:4" x14ac:dyDescent="0.35">
      <c r="A24" s="38">
        <v>24</v>
      </c>
      <c r="B24" s="39">
        <f t="shared" si="0"/>
        <v>4.3900000000000002E-2</v>
      </c>
      <c r="C24" s="40">
        <v>0.67459999999999998</v>
      </c>
      <c r="D24" s="31"/>
    </row>
    <row r="25" spans="1:4" x14ac:dyDescent="0.35">
      <c r="A25" s="38">
        <v>25</v>
      </c>
      <c r="B25" s="39">
        <f t="shared" si="0"/>
        <v>4.4900000000000002E-2</v>
      </c>
      <c r="C25" s="40">
        <v>0.69389999999999996</v>
      </c>
      <c r="D25" s="31"/>
    </row>
    <row r="26" spans="1:4" x14ac:dyDescent="0.35">
      <c r="A26" s="38">
        <v>26</v>
      </c>
      <c r="B26" s="39">
        <f t="shared" si="0"/>
        <v>4.5900000000000003E-2</v>
      </c>
      <c r="C26" s="40">
        <v>0.71350000000000002</v>
      </c>
      <c r="D26" s="31"/>
    </row>
    <row r="27" spans="1:4" x14ac:dyDescent="0.35">
      <c r="A27" s="38">
        <v>27</v>
      </c>
      <c r="B27" s="39">
        <f t="shared" si="0"/>
        <v>4.6899999999999997E-2</v>
      </c>
      <c r="C27" s="40">
        <v>0.73329999999999995</v>
      </c>
      <c r="D27" s="31"/>
    </row>
    <row r="28" spans="1:4" x14ac:dyDescent="0.35">
      <c r="A28" s="38">
        <v>28</v>
      </c>
      <c r="B28" s="39">
        <f t="shared" si="0"/>
        <v>4.7899999999999998E-2</v>
      </c>
      <c r="C28" s="40">
        <v>0.75319999999999998</v>
      </c>
      <c r="D28" s="31"/>
    </row>
    <row r="29" spans="1:4" x14ac:dyDescent="0.35">
      <c r="A29" s="38">
        <v>29</v>
      </c>
      <c r="B29" s="39">
        <f t="shared" si="0"/>
        <v>4.8899999999999999E-2</v>
      </c>
      <c r="C29" s="40">
        <v>0.77339999999999998</v>
      </c>
      <c r="D29" s="31"/>
    </row>
    <row r="30" spans="1:4" x14ac:dyDescent="0.35">
      <c r="A30" s="38">
        <v>30</v>
      </c>
      <c r="B30" s="39">
        <f t="shared" si="0"/>
        <v>4.99E-2</v>
      </c>
      <c r="C30" s="40">
        <v>0.79379999999999995</v>
      </c>
      <c r="D30" s="31"/>
    </row>
    <row r="31" spans="1:4" x14ac:dyDescent="0.35">
      <c r="A31" s="38">
        <v>31</v>
      </c>
      <c r="B31" s="39">
        <f t="shared" si="0"/>
        <v>5.0900000000000001E-2</v>
      </c>
      <c r="C31" s="40">
        <v>0.81440000000000001</v>
      </c>
      <c r="D31" s="31"/>
    </row>
    <row r="32" spans="1:4" x14ac:dyDescent="0.35">
      <c r="A32" s="38">
        <v>32</v>
      </c>
      <c r="B32" s="39">
        <f t="shared" si="0"/>
        <v>5.1900000000000002E-2</v>
      </c>
      <c r="C32" s="40">
        <v>0.83520000000000005</v>
      </c>
      <c r="D32" s="31"/>
    </row>
    <row r="33" spans="1:4" x14ac:dyDescent="0.35">
      <c r="A33" s="38">
        <v>33</v>
      </c>
      <c r="B33" s="39">
        <f t="shared" si="0"/>
        <v>5.2900000000000003E-2</v>
      </c>
      <c r="C33" s="40">
        <v>0.85629999999999995</v>
      </c>
      <c r="D33" s="31"/>
    </row>
    <row r="34" spans="1:4" x14ac:dyDescent="0.35">
      <c r="A34" s="38">
        <v>34</v>
      </c>
      <c r="B34" s="39">
        <f t="shared" si="0"/>
        <v>5.3900000000000003E-2</v>
      </c>
      <c r="C34" s="40">
        <v>0.87760000000000005</v>
      </c>
      <c r="D34" s="31"/>
    </row>
    <row r="35" spans="1:4" x14ac:dyDescent="0.35">
      <c r="A35" s="38">
        <v>35</v>
      </c>
      <c r="B35" s="39">
        <f t="shared" si="0"/>
        <v>5.4899999999999997E-2</v>
      </c>
      <c r="C35" s="40">
        <v>0.89900000000000002</v>
      </c>
      <c r="D35" s="31"/>
    </row>
    <row r="36" spans="1:4" x14ac:dyDescent="0.35">
      <c r="A36" s="38">
        <v>36</v>
      </c>
      <c r="B36" s="39">
        <f t="shared" si="0"/>
        <v>5.5899999999999998E-2</v>
      </c>
      <c r="C36" s="40">
        <v>0.92079999999999995</v>
      </c>
      <c r="D36" s="31"/>
    </row>
    <row r="37" spans="1:4" x14ac:dyDescent="0.35">
      <c r="A37" s="38">
        <v>37</v>
      </c>
      <c r="B37" s="39">
        <f t="shared" si="0"/>
        <v>5.6899999999999999E-2</v>
      </c>
      <c r="C37" s="40">
        <v>0.94269999999999998</v>
      </c>
      <c r="D37" s="31"/>
    </row>
    <row r="38" spans="1:4" x14ac:dyDescent="0.35">
      <c r="A38" s="38">
        <v>38</v>
      </c>
      <c r="B38" s="39">
        <f t="shared" si="0"/>
        <v>5.79E-2</v>
      </c>
      <c r="C38" s="40">
        <v>0.96489999999999998</v>
      </c>
      <c r="D38" s="31"/>
    </row>
    <row r="39" spans="1:4" x14ac:dyDescent="0.35">
      <c r="A39" s="38">
        <v>39</v>
      </c>
      <c r="B39" s="39">
        <f t="shared" si="0"/>
        <v>5.8900000000000001E-2</v>
      </c>
      <c r="C39" s="40">
        <v>0.98729999999999996</v>
      </c>
      <c r="D39" s="31"/>
    </row>
    <row r="40" spans="1:4" x14ac:dyDescent="0.35">
      <c r="A40" s="38">
        <v>40</v>
      </c>
      <c r="B40" s="39">
        <f t="shared" si="0"/>
        <v>5.9900000000000002E-2</v>
      </c>
      <c r="C40" s="40">
        <v>1.0099</v>
      </c>
      <c r="D40" s="31"/>
    </row>
    <row r="41" spans="1:4" x14ac:dyDescent="0.35">
      <c r="B41" s="1"/>
    </row>
    <row r="42" spans="1:4" x14ac:dyDescent="0.35">
      <c r="B42" s="1"/>
    </row>
    <row r="44" spans="1:4" x14ac:dyDescent="0.35">
      <c r="B44" s="1"/>
    </row>
    <row r="45" spans="1:4" x14ac:dyDescent="0.35">
      <c r="B45" s="1"/>
    </row>
    <row r="46" spans="1:4" x14ac:dyDescent="0.35">
      <c r="B46" s="1"/>
    </row>
    <row r="47" spans="1:4" x14ac:dyDescent="0.35">
      <c r="B47" s="1"/>
    </row>
    <row r="48" spans="1:4" x14ac:dyDescent="0.35">
      <c r="B48" s="1"/>
    </row>
    <row r="49" spans="2:2" x14ac:dyDescent="0.35">
      <c r="B49" s="1"/>
    </row>
    <row r="50" spans="2:2" x14ac:dyDescent="0.35">
      <c r="B50" s="1"/>
    </row>
    <row r="51" spans="2:2" x14ac:dyDescent="0.35">
      <c r="B51" s="1"/>
    </row>
    <row r="52" spans="2:2" x14ac:dyDescent="0.35">
      <c r="B52" s="1"/>
    </row>
    <row r="53" spans="2:2" x14ac:dyDescent="0.35">
      <c r="B53" s="1"/>
    </row>
    <row r="54" spans="2:2" x14ac:dyDescent="0.35">
      <c r="B54" s="1"/>
    </row>
    <row r="55" spans="2:2" x14ac:dyDescent="0.35">
      <c r="B55" s="1"/>
    </row>
    <row r="56" spans="2:2" x14ac:dyDescent="0.35">
      <c r="B56" s="1"/>
    </row>
    <row r="57" spans="2:2" x14ac:dyDescent="0.35">
      <c r="B57" s="1"/>
    </row>
    <row r="58" spans="2:2" x14ac:dyDescent="0.35">
      <c r="B58" s="1"/>
    </row>
    <row r="59" spans="2:2" x14ac:dyDescent="0.35">
      <c r="B59" s="1"/>
    </row>
    <row r="60" spans="2:2" x14ac:dyDescent="0.35">
      <c r="B60" s="1"/>
    </row>
    <row r="61" spans="2:2" x14ac:dyDescent="0.35">
      <c r="B61" s="1"/>
    </row>
    <row r="62" spans="2:2" x14ac:dyDescent="0.35">
      <c r="B62" s="1"/>
    </row>
    <row r="63" spans="2:2" x14ac:dyDescent="0.35">
      <c r="B63" s="1"/>
    </row>
    <row r="64" spans="2:2" x14ac:dyDescent="0.35">
      <c r="B64" s="1"/>
    </row>
    <row r="65" spans="2:2" x14ac:dyDescent="0.35">
      <c r="B65" s="1"/>
    </row>
    <row r="66" spans="2:2" x14ac:dyDescent="0.35">
      <c r="B66" s="1"/>
    </row>
    <row r="67" spans="2:2" x14ac:dyDescent="0.35">
      <c r="B67" s="1"/>
    </row>
    <row r="68" spans="2:2" x14ac:dyDescent="0.35">
      <c r="B68" s="1"/>
    </row>
    <row r="69" spans="2:2" x14ac:dyDescent="0.35">
      <c r="B69" s="1"/>
    </row>
    <row r="70" spans="2:2" x14ac:dyDescent="0.35">
      <c r="B70" s="1"/>
    </row>
    <row r="71" spans="2:2" x14ac:dyDescent="0.35">
      <c r="B71" s="1"/>
    </row>
    <row r="72" spans="2:2" x14ac:dyDescent="0.35">
      <c r="B72" s="1"/>
    </row>
    <row r="73" spans="2:2" x14ac:dyDescent="0.35">
      <c r="B73" s="1"/>
    </row>
    <row r="74" spans="2:2" x14ac:dyDescent="0.35">
      <c r="B74" s="1"/>
    </row>
    <row r="75" spans="2:2" x14ac:dyDescent="0.35">
      <c r="B75" s="1"/>
    </row>
    <row r="76" spans="2:2" x14ac:dyDescent="0.35">
      <c r="B76" s="1"/>
    </row>
    <row r="77" spans="2:2" x14ac:dyDescent="0.35">
      <c r="B77" s="1"/>
    </row>
    <row r="78" spans="2:2" x14ac:dyDescent="0.35">
      <c r="B78" s="1"/>
    </row>
    <row r="79" spans="2:2" x14ac:dyDescent="0.35">
      <c r="B79" s="1"/>
    </row>
    <row r="80" spans="2:2" x14ac:dyDescent="0.35">
      <c r="B80" s="1"/>
    </row>
    <row r="81" spans="2:2" x14ac:dyDescent="0.35">
      <c r="B81" s="1"/>
    </row>
    <row r="82" spans="2:2" x14ac:dyDescent="0.35">
      <c r="B82" s="1"/>
    </row>
    <row r="83" spans="2:2" x14ac:dyDescent="0.35">
      <c r="B83" s="1"/>
    </row>
    <row r="84" spans="2:2" x14ac:dyDescent="0.35">
      <c r="B84" s="1"/>
    </row>
    <row r="85" spans="2:2" x14ac:dyDescent="0.35">
      <c r="B85" s="1"/>
    </row>
    <row r="86" spans="2:2" x14ac:dyDescent="0.35">
      <c r="B86" s="1"/>
    </row>
    <row r="87" spans="2:2" x14ac:dyDescent="0.35">
      <c r="B8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F27CE-5A5E-44C1-9F2F-1CC0852E1B0B}">
  <dimension ref="A1:S52"/>
  <sheetViews>
    <sheetView zoomScale="85" zoomScaleNormal="85" workbookViewId="0">
      <selection activeCell="K7" sqref="K7"/>
    </sheetView>
  </sheetViews>
  <sheetFormatPr baseColWidth="10" defaultRowHeight="14.5" x14ac:dyDescent="0.35"/>
  <cols>
    <col min="2" max="3" width="12.1796875" customWidth="1"/>
    <col min="4" max="4" width="12.1796875" style="5" customWidth="1"/>
    <col min="5" max="6" width="5.81640625" customWidth="1"/>
    <col min="7" max="9" width="15" customWidth="1"/>
    <col min="10" max="10" width="13.81640625" customWidth="1"/>
    <col min="11" max="11" width="17.90625" bestFit="1" customWidth="1"/>
    <col min="12" max="12" width="12.81640625" bestFit="1" customWidth="1"/>
    <col min="13" max="13" width="13.08984375" bestFit="1" customWidth="1"/>
    <col min="15" max="15" width="11.90625" customWidth="1"/>
  </cols>
  <sheetData>
    <row r="1" spans="1:19" x14ac:dyDescent="0.35">
      <c r="B1" s="6"/>
      <c r="C1" s="6" t="s">
        <v>26</v>
      </c>
      <c r="D1" s="12" t="s">
        <v>10</v>
      </c>
      <c r="E1" s="6" t="s">
        <v>15</v>
      </c>
      <c r="F1" s="6" t="s">
        <v>34</v>
      </c>
      <c r="G1" s="6" t="s">
        <v>16</v>
      </c>
      <c r="H1" s="6" t="s">
        <v>35</v>
      </c>
      <c r="I1" s="6" t="s">
        <v>37</v>
      </c>
      <c r="J1" s="6"/>
      <c r="L1" s="6"/>
      <c r="O1" s="6"/>
    </row>
    <row r="2" spans="1:19" x14ac:dyDescent="0.35">
      <c r="A2">
        <v>0</v>
      </c>
      <c r="B2" s="5">
        <f>Cronograma_KORI!B3</f>
        <v>46156</v>
      </c>
      <c r="C2" s="6"/>
      <c r="D2" s="12"/>
      <c r="E2" s="6"/>
      <c r="F2">
        <f>SUM(E3:E52)</f>
        <v>459</v>
      </c>
      <c r="G2" s="6"/>
      <c r="H2" s="6"/>
      <c r="I2" s="6"/>
      <c r="J2" s="30"/>
      <c r="K2" s="6" t="s">
        <v>36</v>
      </c>
      <c r="L2" s="6"/>
      <c r="M2" s="6" t="s">
        <v>14</v>
      </c>
      <c r="O2" s="6"/>
    </row>
    <row r="3" spans="1:19" x14ac:dyDescent="0.35">
      <c r="A3">
        <v>1</v>
      </c>
      <c r="B3" s="5">
        <f>Cronograma_KORI!B3</f>
        <v>46156</v>
      </c>
      <c r="C3" s="5">
        <f>IF(A3&lt;=Cronograma_KORI!$B$4,DATE(YEAR(EDATE(B3,1)),MONTH(EDATE(B3,1)),MIN(DAY(EOMONTH(EDATE(B3,1),0)),Cronograma_KORI!$B$6)),"")</f>
        <v>46189</v>
      </c>
      <c r="D3" s="5">
        <f>IF(A3&gt;Cronograma_KORI!$B$4,"",IF(WEEKDAY(C3)=1,C3+1,C3))</f>
        <v>46189</v>
      </c>
      <c r="E3">
        <f>IF(D3="","",D3-B3)</f>
        <v>33</v>
      </c>
      <c r="F3">
        <f>IF(A3&lt;Cronograma_KORI!$B$4+1,F2-E3,"")</f>
        <v>426</v>
      </c>
      <c r="G3" s="21">
        <f>IF(E3="","",(1+Cronograma_KORI!$B$5)^(E3/30)-1)</f>
        <v>4.1768120114976215E-2</v>
      </c>
      <c r="H3" s="21">
        <f>IF(G3="","",IF(MONTH(D3)=MONTH(D4),1+G3+2*Cronograma_KORI!$B$8,1+G3+Cronograma_KORI!$B$8))</f>
        <v>1.0423781201149762</v>
      </c>
      <c r="I3">
        <f>IF(A3&lt;Cronograma_KORI!$B$4+1,1/H3,"")</f>
        <v>0.95934477201967572</v>
      </c>
      <c r="J3" s="22"/>
      <c r="K3" s="41">
        <f>SUM(I3:I52)</f>
        <v>11.151991592511989</v>
      </c>
      <c r="L3" s="22"/>
      <c r="M3" s="29">
        <f>ROUND((Cronograma_KORI!B2/Motor_KORI!K3),2)</f>
        <v>448.35</v>
      </c>
      <c r="O3" s="5"/>
    </row>
    <row r="4" spans="1:19" x14ac:dyDescent="0.35">
      <c r="A4">
        <v>2</v>
      </c>
      <c r="B4" s="5">
        <f>IF(C3="","",C3)</f>
        <v>46189</v>
      </c>
      <c r="C4" s="5">
        <f>IF(A4&lt;=Cronograma_KORI!$B$4,DATE(YEAR(EDATE(B4,1)),MONTH(EDATE(B4,1)),MIN(DAY(EOMONTH(EDATE(B4,1),0)),Cronograma_KORI!$B$6)),"")</f>
        <v>46219</v>
      </c>
      <c r="D4" s="5">
        <f>IF(A4&gt;Cronograma_KORI!$B$4,"",IF(WEEKDAY(C4)=1,C4+1,C4))</f>
        <v>46219</v>
      </c>
      <c r="E4">
        <f>IF(D4="","",D4-D3)</f>
        <v>30</v>
      </c>
      <c r="F4">
        <f>IF(A4&lt;Cronograma_KORI!$B$4+1,F3-E4,"")</f>
        <v>396</v>
      </c>
      <c r="G4" s="21">
        <f>IF(E4="","",(1+Cronograma_KORI!$B$5)^(E4/30)-1)</f>
        <v>3.7900000000000045E-2</v>
      </c>
      <c r="H4" s="21">
        <f>IF(G4="","",IF(MONTH(D3)=MONTH(D4),1+G4+0*Cronograma_KORI!$B$8,IF(MONTH(D4)=IFERROR(MONTH(D5),0),1+G4+2*Cronograma_KORI!$B$8,1+G4+Cronograma_KORI!$B$8)))</f>
        <v>1.03851</v>
      </c>
      <c r="I4">
        <f>IF(A4&lt;Cronograma_KORI!$B$4+1,I3/H4,"")</f>
        <v>0.9237703748829339</v>
      </c>
      <c r="J4" s="22"/>
      <c r="L4" s="22"/>
      <c r="O4" s="5"/>
      <c r="S4" s="4"/>
    </row>
    <row r="5" spans="1:19" x14ac:dyDescent="0.35">
      <c r="A5">
        <v>3</v>
      </c>
      <c r="B5" s="5">
        <f t="shared" ref="B5:B52" si="0">IF(C4="","",C4)</f>
        <v>46219</v>
      </c>
      <c r="C5" s="5">
        <f>IF(A5&lt;=Cronograma_KORI!$B$4,DATE(YEAR(EDATE(B5,1)),MONTH(EDATE(B5,1)),MIN(DAY(EOMONTH(EDATE(B5,1),0)),Cronograma_KORI!$B$6)),"")</f>
        <v>46250</v>
      </c>
      <c r="D5" s="5">
        <f>IF(A5&gt;Cronograma_KORI!$B$4,"",IF(WEEKDAY(C5)=1,C5+1,C5))</f>
        <v>46251</v>
      </c>
      <c r="E5">
        <f>IF(D5="","",D5-D4)</f>
        <v>32</v>
      </c>
      <c r="F5">
        <f>IF(A5&lt;Cronograma_KORI!$B$4+1,F4-E5,"")</f>
        <v>364</v>
      </c>
      <c r="G5" s="21">
        <f>IF(E5="","",(1+Cronograma_KORI!$B$5)^(E5/30)-1)</f>
        <v>4.0477147614358833E-2</v>
      </c>
      <c r="H5" s="21">
        <f>IF(G5="","",IF(MONTH(D4)=MONTH(D5),1+G5+0*Cronograma_KORI!$B$8,IF(MONTH(D5)=IFERROR(MONTH(D6),0),1+G5+2*Cronograma_KORI!$B$8,1+G5+Cronograma_KORI!$B$8)))</f>
        <v>1.0410871476143588</v>
      </c>
      <c r="I5">
        <f>IF(A5&lt;Cronograma_KORI!$B$4+1,I4/H5,"")</f>
        <v>0.88731320619963927</v>
      </c>
      <c r="J5" s="22"/>
      <c r="K5" s="22"/>
      <c r="L5" s="22"/>
      <c r="O5" s="5"/>
    </row>
    <row r="6" spans="1:19" x14ac:dyDescent="0.35">
      <c r="A6">
        <v>4</v>
      </c>
      <c r="B6" s="5">
        <f t="shared" si="0"/>
        <v>46250</v>
      </c>
      <c r="C6" s="5">
        <f>IF(A6&lt;=Cronograma_KORI!$B$4,DATE(YEAR(EDATE(B6,1)),MONTH(EDATE(B6,1)),MIN(DAY(EOMONTH(EDATE(B6,1),0)),Cronograma_KORI!$B$6)),"")</f>
        <v>46281</v>
      </c>
      <c r="D6" s="5">
        <f>IF(A6&gt;Cronograma_KORI!$B$4,"",IF(WEEKDAY(C6)=1,C6+1,C6))</f>
        <v>46281</v>
      </c>
      <c r="E6">
        <f>IF(D6="","",D6-D5)</f>
        <v>30</v>
      </c>
      <c r="F6">
        <f>IF(A6&lt;Cronograma_KORI!$B$4+1,F5-E6,"")</f>
        <v>334</v>
      </c>
      <c r="G6" s="21">
        <f>IF(E6="","",(1+Cronograma_KORI!$B$5)^(E6/30)-1)</f>
        <v>3.7900000000000045E-2</v>
      </c>
      <c r="H6" s="21">
        <f>IF(G6="","",IF(MONTH(D5)=MONTH(D6),1+G6+0*Cronograma_KORI!$B$8,IF(MONTH(D6)=IFERROR(MONTH(D7),0),1+G6+2*Cronograma_KORI!$B$8,1+G6+Cronograma_KORI!$B$8)))</f>
        <v>1.03851</v>
      </c>
      <c r="I6">
        <f>IF(A6&lt;Cronograma_KORI!$B$4+1,I5/H6,"")</f>
        <v>0.85440988165702714</v>
      </c>
      <c r="J6" s="22"/>
      <c r="K6" s="22"/>
      <c r="L6" s="22"/>
      <c r="M6" s="5"/>
      <c r="O6" s="5"/>
    </row>
    <row r="7" spans="1:19" x14ac:dyDescent="0.35">
      <c r="A7">
        <v>5</v>
      </c>
      <c r="B7" s="5">
        <f t="shared" si="0"/>
        <v>46281</v>
      </c>
      <c r="C7" s="5">
        <f>IF(A7&lt;=Cronograma_KORI!$B$4,DATE(YEAR(EDATE(B7,1)),MONTH(EDATE(B7,1)),MIN(DAY(EOMONTH(EDATE(B7,1),0)),Cronograma_KORI!$B$6)),"")</f>
        <v>46311</v>
      </c>
      <c r="D7" s="5">
        <f>IF(A7&gt;Cronograma_KORI!$B$4,"",IF(WEEKDAY(C7)=1,C7+1,C7))</f>
        <v>46311</v>
      </c>
      <c r="E7">
        <f>IF(D7="","",D7-D6)</f>
        <v>30</v>
      </c>
      <c r="F7">
        <f>IF(A7&lt;Cronograma_KORI!$B$4+1,F6-E7,"")</f>
        <v>304</v>
      </c>
      <c r="G7" s="21">
        <f>IF(E7="","",(1+Cronograma_KORI!$B$5)^(E7/30)-1)</f>
        <v>3.7900000000000045E-2</v>
      </c>
      <c r="H7" s="21">
        <f>IF(G7="","",IF(MONTH(D6)=MONTH(D7),1+G7+0*Cronograma_KORI!$B$8,IF(MONTH(D7)=IFERROR(MONTH(D8),0),1+G7+2*Cronograma_KORI!$B$8,1+G7+Cronograma_KORI!$B$8)))</f>
        <v>1.03851</v>
      </c>
      <c r="I7">
        <f>IF(A7&lt;Cronograma_KORI!$B$4+1,I6/H7,"")</f>
        <v>0.82272667731367743</v>
      </c>
      <c r="J7" s="22"/>
      <c r="K7" s="22"/>
      <c r="L7" s="22"/>
      <c r="O7" s="5"/>
    </row>
    <row r="8" spans="1:19" x14ac:dyDescent="0.35">
      <c r="A8">
        <v>6</v>
      </c>
      <c r="B8" s="5">
        <f t="shared" si="0"/>
        <v>46311</v>
      </c>
      <c r="C8" s="5">
        <f>IF(A8&lt;=Cronograma_KORI!$B$4,DATE(YEAR(EDATE(B8,1)),MONTH(EDATE(B8,1)),MIN(DAY(EOMONTH(EDATE(B8,1),0)),Cronograma_KORI!$B$6)),"")</f>
        <v>46342</v>
      </c>
      <c r="D8" s="5">
        <f>IF(A8&gt;Cronograma_KORI!$B$4,"",IF(WEEKDAY(C8)=1,C8+1,C8))</f>
        <v>46342</v>
      </c>
      <c r="E8">
        <f t="shared" ref="E8:E52" si="1">IF(D8="","",D8-D7)</f>
        <v>31</v>
      </c>
      <c r="F8">
        <f>IF(A8&lt;Cronograma_KORI!$B$4+1,F7-E8,"")</f>
        <v>273</v>
      </c>
      <c r="G8" s="21">
        <f>IF(E8="","",(1+Cronograma_KORI!$B$5)^(E8/30)-1)</f>
        <v>3.9187774903526762E-2</v>
      </c>
      <c r="H8" s="21">
        <f>IF(G8="","",IF(MONTH(D7)=MONTH(D8),1+G8+0*Cronograma_KORI!$B$8,IF(MONTH(D8)=IFERROR(MONTH(D9),0),1+G8+2*Cronograma_KORI!$B$8,1+G8+Cronograma_KORI!$B$8)))</f>
        <v>1.0397977749035268</v>
      </c>
      <c r="I8">
        <f>IF(A8&lt;Cronograma_KORI!$B$4+1,I7/H8,"")</f>
        <v>0.7912371974348672</v>
      </c>
      <c r="J8" s="22"/>
      <c r="K8" s="22"/>
      <c r="L8" s="22"/>
      <c r="M8" s="5"/>
      <c r="O8" s="5"/>
    </row>
    <row r="9" spans="1:19" x14ac:dyDescent="0.35">
      <c r="A9">
        <v>7</v>
      </c>
      <c r="B9" s="5">
        <f t="shared" si="0"/>
        <v>46342</v>
      </c>
      <c r="C9" s="5">
        <f>IF(A9&lt;=Cronograma_KORI!$B$4,DATE(YEAR(EDATE(B9,1)),MONTH(EDATE(B9,1)),MIN(DAY(EOMONTH(EDATE(B9,1),0)),Cronograma_KORI!$B$6)),"")</f>
        <v>46372</v>
      </c>
      <c r="D9" s="5">
        <f>IF(A9&gt;Cronograma_KORI!$B$4,"",IF(WEEKDAY(C9)=1,C9+1,C9))</f>
        <v>46372</v>
      </c>
      <c r="E9">
        <f t="shared" si="1"/>
        <v>30</v>
      </c>
      <c r="F9">
        <f>IF(A9&lt;Cronograma_KORI!$B$4+1,F8-E9,"")</f>
        <v>243</v>
      </c>
      <c r="G9" s="21">
        <f>IF(E9="","",(1+Cronograma_KORI!$B$5)^(E9/30)-1)</f>
        <v>3.7900000000000045E-2</v>
      </c>
      <c r="H9" s="21">
        <f>IF(G9="","",IF(MONTH(D8)=MONTH(D9),1+G9+0*Cronograma_KORI!$B$8,IF(MONTH(D9)=IFERROR(MONTH(D10),0),1+G9+2*Cronograma_KORI!$B$8,1+G9+Cronograma_KORI!$B$8)))</f>
        <v>1.03851</v>
      </c>
      <c r="I9">
        <f>IF(A9&lt;Cronograma_KORI!$B$4+1,I8/H9,"")</f>
        <v>0.7618965608755498</v>
      </c>
      <c r="J9" s="22"/>
      <c r="K9" s="22"/>
      <c r="L9" s="22"/>
      <c r="M9" s="5"/>
      <c r="O9" s="5"/>
    </row>
    <row r="10" spans="1:19" x14ac:dyDescent="0.35">
      <c r="A10">
        <v>8</v>
      </c>
      <c r="B10" s="5">
        <f t="shared" si="0"/>
        <v>46372</v>
      </c>
      <c r="C10" s="5">
        <f>IF(A10&lt;=Cronograma_KORI!$B$4,DATE(YEAR(EDATE(B10,1)),MONTH(EDATE(B10,1)),MIN(DAY(EOMONTH(EDATE(B10,1),0)),Cronograma_KORI!$B$6)),"")</f>
        <v>46403</v>
      </c>
      <c r="D10" s="5">
        <f>IF(A10&gt;Cronograma_KORI!$B$4,"",IF(WEEKDAY(C10)=1,C10+1,C10))</f>
        <v>46403</v>
      </c>
      <c r="E10">
        <f t="shared" si="1"/>
        <v>31</v>
      </c>
      <c r="F10">
        <f>IF(A10&lt;Cronograma_KORI!$B$4+1,F9-E10,"")</f>
        <v>212</v>
      </c>
      <c r="G10" s="21">
        <f>IF(E10="","",(1+Cronograma_KORI!$B$5)^(E10/30)-1)</f>
        <v>3.9187774903526762E-2</v>
      </c>
      <c r="H10" s="21">
        <f>IF(G10="","",IF(MONTH(D9)=MONTH(D10),1+G10+0*Cronograma_KORI!$B$8,IF(MONTH(D10)=IFERROR(MONTH(D11),0),1+G10+2*Cronograma_KORI!$B$8,1+G10+Cronograma_KORI!$B$8)))</f>
        <v>1.0397977749035268</v>
      </c>
      <c r="I10">
        <f>IF(A10&lt;Cronograma_KORI!$B$4+1,I9/H10,"")</f>
        <v>0.73273532533404306</v>
      </c>
      <c r="J10" s="22"/>
      <c r="K10" s="22"/>
      <c r="L10" s="22"/>
      <c r="O10" s="5"/>
    </row>
    <row r="11" spans="1:19" x14ac:dyDescent="0.35">
      <c r="A11">
        <v>9</v>
      </c>
      <c r="B11" s="5">
        <f t="shared" si="0"/>
        <v>46403</v>
      </c>
      <c r="C11" s="5">
        <f>IF(A11&lt;=Cronograma_KORI!$B$4,DATE(YEAR(EDATE(B11,1)),MONTH(EDATE(B11,1)),MIN(DAY(EOMONTH(EDATE(B11,1),0)),Cronograma_KORI!$B$6)),"")</f>
        <v>46434</v>
      </c>
      <c r="D11" s="5">
        <f>IF(A11&gt;Cronograma_KORI!$B$4,"",IF(WEEKDAY(C11)=1,C11+1,C11))</f>
        <v>46434</v>
      </c>
      <c r="E11">
        <f t="shared" si="1"/>
        <v>31</v>
      </c>
      <c r="F11">
        <f>IF(A11&lt;Cronograma_KORI!$B$4+1,F10-E11,"")</f>
        <v>181</v>
      </c>
      <c r="G11" s="21">
        <f>IF(E11="","",(1+Cronograma_KORI!$B$5)^(E11/30)-1)</f>
        <v>3.9187774903526762E-2</v>
      </c>
      <c r="H11" s="21">
        <f>IF(G11="","",IF(MONTH(D10)=MONTH(D11),1+G11+0*Cronograma_KORI!$B$8,IF(MONTH(D11)=IFERROR(MONTH(D12),0),1+G11+2*Cronograma_KORI!$B$8,1+G11+Cronograma_KORI!$B$8)))</f>
        <v>1.0397977749035268</v>
      </c>
      <c r="I11">
        <f>IF(A11&lt;Cronograma_KORI!$B$4+1,I10/H11,"")</f>
        <v>0.70469022248295043</v>
      </c>
      <c r="J11" s="2"/>
      <c r="K11" s="22"/>
      <c r="L11" s="22"/>
      <c r="M11" s="5"/>
    </row>
    <row r="12" spans="1:19" x14ac:dyDescent="0.35">
      <c r="A12">
        <v>10</v>
      </c>
      <c r="B12" s="5">
        <f t="shared" si="0"/>
        <v>46434</v>
      </c>
      <c r="C12" s="5">
        <f>IF(A12&lt;=Cronograma_KORI!$B$4,DATE(YEAR(EDATE(B12,1)),MONTH(EDATE(B12,1)),MIN(DAY(EOMONTH(EDATE(B12,1),0)),Cronograma_KORI!$B$6)),"")</f>
        <v>46462</v>
      </c>
      <c r="D12" s="5">
        <f>IF(A12&gt;Cronograma_KORI!$B$4,"",IF(WEEKDAY(C12)=1,C12+1,C12))</f>
        <v>46462</v>
      </c>
      <c r="E12">
        <f t="shared" si="1"/>
        <v>28</v>
      </c>
      <c r="F12">
        <f>IF(A12&lt;Cronograma_KORI!$B$4+1,F11-E12,"")</f>
        <v>153</v>
      </c>
      <c r="G12" s="21">
        <f>IF(E12="","",(1+Cronograma_KORI!$B$5)^(E12/30)-1)</f>
        <v>3.532923569722235E-2</v>
      </c>
      <c r="H12" s="21">
        <f>IF(G12="","",IF(MONTH(D11)=MONTH(D12),1+G12+0*Cronograma_KORI!$B$8,IF(MONTH(D12)=IFERROR(MONTH(D13),0),1+G12+2*Cronograma_KORI!$B$8,1+G12+Cronograma_KORI!$B$8)))</f>
        <v>1.0359392356972223</v>
      </c>
      <c r="I12">
        <f>IF(A12&lt;Cronograma_KORI!$B$4+1,I11/H12,"")</f>
        <v>0.68024281560169886</v>
      </c>
      <c r="J12" s="2"/>
      <c r="K12" s="22"/>
      <c r="L12" s="22"/>
      <c r="M12" s="7"/>
    </row>
    <row r="13" spans="1:19" x14ac:dyDescent="0.35">
      <c r="A13">
        <v>11</v>
      </c>
      <c r="B13" s="5">
        <f t="shared" si="0"/>
        <v>46462</v>
      </c>
      <c r="C13" s="5">
        <f>IF(A13&lt;=Cronograma_KORI!$B$4,DATE(YEAR(EDATE(B13,1)),MONTH(EDATE(B13,1)),MIN(DAY(EOMONTH(EDATE(B13,1),0)),Cronograma_KORI!$B$6)),"")</f>
        <v>46493</v>
      </c>
      <c r="D13" s="5">
        <f>IF(A13&gt;Cronograma_KORI!$B$4,"",IF(WEEKDAY(C13)=1,C13+1,C13))</f>
        <v>46493</v>
      </c>
      <c r="E13">
        <f t="shared" si="1"/>
        <v>31</v>
      </c>
      <c r="F13">
        <f>IF(A13&lt;Cronograma_KORI!$B$4+1,F12-E13,"")</f>
        <v>122</v>
      </c>
      <c r="G13" s="21">
        <f>IF(E13="","",(1+Cronograma_KORI!$B$5)^(E13/30)-1)</f>
        <v>3.9187774903526762E-2</v>
      </c>
      <c r="H13" s="21">
        <f>IF(G13="","",IF(MONTH(D12)=MONTH(D13),1+G13+0*Cronograma_KORI!$B$8,IF(MONTH(D13)=IFERROR(MONTH(D14),0),1+G13+2*Cronograma_KORI!$B$8,1+G13+Cronograma_KORI!$B$8)))</f>
        <v>1.0397977749035268</v>
      </c>
      <c r="I13">
        <f>IF(A13&lt;Cronograma_KORI!$B$4+1,I12/H13,"")</f>
        <v>0.65420683907965882</v>
      </c>
      <c r="J13" s="2"/>
      <c r="K13" s="22"/>
      <c r="L13" s="22"/>
      <c r="M13" s="7"/>
    </row>
    <row r="14" spans="1:19" x14ac:dyDescent="0.35">
      <c r="A14">
        <v>12</v>
      </c>
      <c r="B14" s="5">
        <f t="shared" si="0"/>
        <v>46493</v>
      </c>
      <c r="C14" s="5">
        <f>IF(A14&lt;=Cronograma_KORI!$B$4,DATE(YEAR(EDATE(B14,1)),MONTH(EDATE(B14,1)),MIN(DAY(EOMONTH(EDATE(B14,1),0)),Cronograma_KORI!$B$6)),"")</f>
        <v>46523</v>
      </c>
      <c r="D14" s="5">
        <f>IF(A14&gt;Cronograma_KORI!$B$4,"",IF(WEEKDAY(C14)=1,C14+1,C14))</f>
        <v>46524</v>
      </c>
      <c r="E14">
        <f t="shared" si="1"/>
        <v>31</v>
      </c>
      <c r="F14">
        <f>IF(A14&lt;Cronograma_KORI!$B$4+1,F13-E14,"")</f>
        <v>91</v>
      </c>
      <c r="G14" s="21">
        <f>IF(E14="","",(1+Cronograma_KORI!$B$5)^(E14/30)-1)</f>
        <v>3.9187774903526762E-2</v>
      </c>
      <c r="H14" s="21">
        <f>IF(G14="","",IF(MONTH(D13)=MONTH(D14),1+G14+0*Cronograma_KORI!$B$8,IF(MONTH(D14)=IFERROR(MONTH(D15),0),1+G14+2*Cronograma_KORI!$B$8,1+G14+Cronograma_KORI!$B$8)))</f>
        <v>1.0397977749035268</v>
      </c>
      <c r="I14">
        <f>IF(A14&lt;Cronograma_KORI!$B$4+1,I13/H14,"")</f>
        <v>0.62916737741659101</v>
      </c>
      <c r="J14" s="2"/>
      <c r="K14" s="22"/>
      <c r="L14" s="22"/>
      <c r="M14" s="7"/>
    </row>
    <row r="15" spans="1:19" x14ac:dyDescent="0.35">
      <c r="A15">
        <v>13</v>
      </c>
      <c r="B15" s="5">
        <f t="shared" si="0"/>
        <v>46523</v>
      </c>
      <c r="C15" s="5">
        <f>IF(A15&lt;=Cronograma_KORI!$B$4,DATE(YEAR(EDATE(B15,1)),MONTH(EDATE(B15,1)),MIN(DAY(EOMONTH(EDATE(B15,1),0)),Cronograma_KORI!$B$6)),"")</f>
        <v>46554</v>
      </c>
      <c r="D15" s="5">
        <f>IF(A15&gt;Cronograma_KORI!$B$4,"",IF(WEEKDAY(C15)=1,C15+1,C15))</f>
        <v>46554</v>
      </c>
      <c r="E15">
        <f t="shared" si="1"/>
        <v>30</v>
      </c>
      <c r="F15">
        <f>IF(A15&lt;Cronograma_KORI!$B$4+1,F14-E15,"")</f>
        <v>61</v>
      </c>
      <c r="G15" s="21">
        <f>IF(E15="","",(1+Cronograma_KORI!$B$5)^(E15/30)-1)</f>
        <v>3.7900000000000045E-2</v>
      </c>
      <c r="H15" s="21">
        <f>IF(G15="","",IF(MONTH(D14)=MONTH(D15),1+G15+0*Cronograma_KORI!$B$8,IF(MONTH(D15)=IFERROR(MONTH(D16),0),1+G15+2*Cronograma_KORI!$B$8,1+G15+Cronograma_KORI!$B$8)))</f>
        <v>1.03851</v>
      </c>
      <c r="I15">
        <f>IF(A15&lt;Cronograma_KORI!$B$4+1,I14/H15,"")</f>
        <v>0.60583660958160346</v>
      </c>
      <c r="J15" s="2"/>
      <c r="K15" s="22"/>
      <c r="L15" s="22"/>
      <c r="M15" s="7"/>
    </row>
    <row r="16" spans="1:19" x14ac:dyDescent="0.35">
      <c r="A16">
        <v>14</v>
      </c>
      <c r="B16" s="5">
        <f t="shared" si="0"/>
        <v>46554</v>
      </c>
      <c r="C16" s="5">
        <f>IF(A16&lt;=Cronograma_KORI!$B$4,DATE(YEAR(EDATE(B16,1)),MONTH(EDATE(B16,1)),MIN(DAY(EOMONTH(EDATE(B16,1),0)),Cronograma_KORI!$B$6)),"")</f>
        <v>46584</v>
      </c>
      <c r="D16" s="5">
        <f>IF(A16&gt;Cronograma_KORI!$B$4,"",IF(WEEKDAY(C16)=1,C16+1,C16))</f>
        <v>46584</v>
      </c>
      <c r="E16">
        <f t="shared" si="1"/>
        <v>30</v>
      </c>
      <c r="F16">
        <f>IF(A16&lt;Cronograma_KORI!$B$4+1,F15-E16,"")</f>
        <v>31</v>
      </c>
      <c r="G16" s="21">
        <f>IF(E16="","",(1+Cronograma_KORI!$B$5)^(E16/30)-1)</f>
        <v>3.7900000000000045E-2</v>
      </c>
      <c r="H16" s="21">
        <f>IF(G16="","",IF(MONTH(D15)=MONTH(D16),1+G16+0*Cronograma_KORI!$B$8,IF(MONTH(D16)=IFERROR(MONTH(D17),0),1+G16+2*Cronograma_KORI!$B$8,1+G16+Cronograma_KORI!$B$8)))</f>
        <v>1.03851</v>
      </c>
      <c r="I16">
        <f>IF(A16&lt;Cronograma_KORI!$B$4+1,I15/H16,"")</f>
        <v>0.58337099265447945</v>
      </c>
      <c r="J16" s="2"/>
      <c r="K16" s="22"/>
      <c r="L16" s="22"/>
      <c r="M16" s="7"/>
    </row>
    <row r="17" spans="1:13" x14ac:dyDescent="0.35">
      <c r="A17">
        <v>15</v>
      </c>
      <c r="B17" s="5">
        <f t="shared" si="0"/>
        <v>46584</v>
      </c>
      <c r="C17" s="5">
        <f>IF(A17&lt;=Cronograma_KORI!$B$4,DATE(YEAR(EDATE(B17,1)),MONTH(EDATE(B17,1)),MIN(DAY(EOMONTH(EDATE(B17,1),0)),Cronograma_KORI!$B$6)),"")</f>
        <v>46615</v>
      </c>
      <c r="D17" s="5">
        <f>IF(A17&gt;Cronograma_KORI!$B$4,"",IF(WEEKDAY(C17)=1,C17+1,C17))</f>
        <v>46615</v>
      </c>
      <c r="E17">
        <f t="shared" si="1"/>
        <v>31</v>
      </c>
      <c r="F17">
        <f>IF(A17&lt;Cronograma_KORI!$B$4+1,F16-E17,"")</f>
        <v>0</v>
      </c>
      <c r="G17" s="21">
        <f>IF(E17="","",(1+Cronograma_KORI!$B$5)^(E17/30)-1)</f>
        <v>3.9187774903526762E-2</v>
      </c>
      <c r="H17" s="21">
        <f>IF(G17="","",IF(MONTH(D16)=MONTH(D17),1+G17+0*Cronograma_KORI!$B$8,IF(MONTH(D17)=IFERROR(MONTH(D18),0),1+G17+2*Cronograma_KORI!$B$8,1+G17+Cronograma_KORI!$B$8)))</f>
        <v>1.0397977749035268</v>
      </c>
      <c r="I17">
        <f>IF(A17&lt;Cronograma_KORI!$B$4+1,I16/H17,"")</f>
        <v>0.56104273997759324</v>
      </c>
      <c r="J17" s="2"/>
      <c r="K17" s="22"/>
      <c r="L17" s="22"/>
      <c r="M17" s="7"/>
    </row>
    <row r="18" spans="1:13" x14ac:dyDescent="0.35">
      <c r="A18">
        <v>16</v>
      </c>
      <c r="B18" s="5">
        <f t="shared" si="0"/>
        <v>46615</v>
      </c>
      <c r="C18" s="5" t="str">
        <f>IF(A18&lt;=Cronograma_KORI!$B$4,DATE(YEAR(EDATE(B18,1)),MONTH(EDATE(B18,1)),MIN(DAY(EOMONTH(EDATE(B18,1),0)),Cronograma_KORI!$B$6)),"")</f>
        <v/>
      </c>
      <c r="D18" s="5" t="str">
        <f>IF(A18&gt;Cronograma_KORI!$B$4,"",IF(WEEKDAY(C18)=1,C18+1,C18))</f>
        <v/>
      </c>
      <c r="E18" t="str">
        <f t="shared" si="1"/>
        <v/>
      </c>
      <c r="F18" t="str">
        <f>IF(A18&lt;Cronograma_KORI!$B$4+1,F17-E18,"")</f>
        <v/>
      </c>
      <c r="G18" s="21" t="str">
        <f>IF(E18="","",(1+Cronograma_KORI!$B$5)^(E18/30)-1)</f>
        <v/>
      </c>
      <c r="H18" s="21" t="str">
        <f>IF(G18="","",IF(MONTH(D17)=MONTH(D18),1+G18+0*Cronograma_KORI!$B$8,IF(MONTH(D18)=IFERROR(MONTH(D19),0),1+G18+2*Cronograma_KORI!$B$8,1+G18+Cronograma_KORI!$B$8)))</f>
        <v/>
      </c>
      <c r="I18" t="str">
        <f>IF(A18&lt;Cronograma_KORI!$B$4+1,I17/H18,"")</f>
        <v/>
      </c>
      <c r="J18" s="2"/>
      <c r="K18" s="22"/>
      <c r="L18" s="22"/>
      <c r="M18" s="7"/>
    </row>
    <row r="19" spans="1:13" x14ac:dyDescent="0.35">
      <c r="A19">
        <v>17</v>
      </c>
      <c r="B19" s="5" t="str">
        <f t="shared" si="0"/>
        <v/>
      </c>
      <c r="C19" s="5" t="str">
        <f>IF(A19&lt;=Cronograma_KORI!$B$4,DATE(YEAR(EDATE(B19,1)),MONTH(EDATE(B19,1)),MIN(DAY(EOMONTH(EDATE(B19,1),0)),Cronograma_KORI!$B$6)),"")</f>
        <v/>
      </c>
      <c r="D19" s="5" t="str">
        <f>IF(A19&gt;Cronograma_KORI!$B$4,"",IF(WEEKDAY(C19)=1,C19+1,C19))</f>
        <v/>
      </c>
      <c r="E19" t="str">
        <f t="shared" si="1"/>
        <v/>
      </c>
      <c r="F19" t="str">
        <f>IF(A19&lt;Cronograma_KORI!$B$4+1,F18-E19,"")</f>
        <v/>
      </c>
      <c r="G19" s="21" t="str">
        <f>IF(E19="","",(1+Cronograma_KORI!$B$5)^(E19/30)-1)</f>
        <v/>
      </c>
      <c r="H19" s="21" t="str">
        <f>IF(G19="","",IF(MONTH(D18)=MONTH(D19),1+G19+0*Cronograma_KORI!$B$8,IF(MONTH(D19)=IFERROR(MONTH(D20),0),1+G19+2*Cronograma_KORI!$B$8,1+G19+Cronograma_KORI!$B$8)))</f>
        <v/>
      </c>
      <c r="I19" t="str">
        <f>IF(A19&lt;Cronograma_KORI!$B$4+1,I18/H19,"")</f>
        <v/>
      </c>
      <c r="J19" s="2"/>
      <c r="K19" s="22"/>
      <c r="L19" s="22"/>
      <c r="M19" s="7"/>
    </row>
    <row r="20" spans="1:13" x14ac:dyDescent="0.35">
      <c r="A20">
        <v>18</v>
      </c>
      <c r="B20" s="5" t="str">
        <f t="shared" si="0"/>
        <v/>
      </c>
      <c r="C20" s="5" t="str">
        <f>IF(A20&lt;=Cronograma_KORI!$B$4,DATE(YEAR(EDATE(B20,1)),MONTH(EDATE(B20,1)),MIN(DAY(EOMONTH(EDATE(B20,1),0)),Cronograma_KORI!$B$6)),"")</f>
        <v/>
      </c>
      <c r="D20" s="5" t="str">
        <f>IF(A20&gt;Cronograma_KORI!$B$4,"",IF(WEEKDAY(C20)=1,C20+1,C20))</f>
        <v/>
      </c>
      <c r="E20" t="str">
        <f t="shared" si="1"/>
        <v/>
      </c>
      <c r="F20" t="str">
        <f>IF(A20&lt;Cronograma_KORI!$B$4+1,F19-E20,"")</f>
        <v/>
      </c>
      <c r="G20" s="21" t="str">
        <f>IF(E20="","",(1+Cronograma_KORI!$B$5)^(E20/30)-1)</f>
        <v/>
      </c>
      <c r="H20" s="21" t="str">
        <f>IF(G20="","",IF(MONTH(D19)=MONTH(D20),1+G20+0*Cronograma_KORI!$B$8,IF(MONTH(D20)=IFERROR(MONTH(D21),0),1+G20+2*Cronograma_KORI!$B$8,1+G20+Cronograma_KORI!$B$8)))</f>
        <v/>
      </c>
      <c r="I20" t="str">
        <f>IF(A20&lt;Cronograma_KORI!$B$4+1,I19/H20,"")</f>
        <v/>
      </c>
      <c r="J20" s="2"/>
      <c r="K20" s="22"/>
      <c r="L20" s="22"/>
      <c r="M20" s="7"/>
    </row>
    <row r="21" spans="1:13" x14ac:dyDescent="0.35">
      <c r="A21">
        <v>19</v>
      </c>
      <c r="B21" s="5" t="str">
        <f t="shared" si="0"/>
        <v/>
      </c>
      <c r="C21" s="5" t="str">
        <f>IF(A21&lt;=Cronograma_KORI!$B$4,DATE(YEAR(EDATE(B21,1)),MONTH(EDATE(B21,1)),MIN(DAY(EOMONTH(EDATE(B21,1),0)),Cronograma_KORI!$B$6)),"")</f>
        <v/>
      </c>
      <c r="D21" s="5" t="str">
        <f>IF(A21&gt;Cronograma_KORI!$B$4,"",IF(WEEKDAY(C21)=1,C21+1,C21))</f>
        <v/>
      </c>
      <c r="E21" t="str">
        <f t="shared" si="1"/>
        <v/>
      </c>
      <c r="F21" t="str">
        <f>IF(A21&lt;Cronograma_KORI!$B$4+1,F20-E21,"")</f>
        <v/>
      </c>
      <c r="G21" s="21" t="str">
        <f>IF(E21="","",(1+Cronograma_KORI!$B$5)^(E21/30)-1)</f>
        <v/>
      </c>
      <c r="H21" s="21" t="str">
        <f>IF(G21="","",IF(MONTH(D20)=MONTH(D21),1+G21+0*Cronograma_KORI!$B$8,IF(MONTH(D21)=IFERROR(MONTH(D22),0),1+G21+2*Cronograma_KORI!$B$8,1+G21+Cronograma_KORI!$B$8)))</f>
        <v/>
      </c>
      <c r="I21" t="str">
        <f>IF(A21&lt;Cronograma_KORI!$B$4+1,I20/H21,"")</f>
        <v/>
      </c>
      <c r="J21" s="2"/>
      <c r="K21" s="22"/>
      <c r="L21" s="22"/>
    </row>
    <row r="22" spans="1:13" x14ac:dyDescent="0.35">
      <c r="A22">
        <v>20</v>
      </c>
      <c r="B22" s="5" t="str">
        <f t="shared" si="0"/>
        <v/>
      </c>
      <c r="C22" s="5" t="str">
        <f>IF(A22&lt;=Cronograma_KORI!$B$4,DATE(YEAR(EDATE(B22,1)),MONTH(EDATE(B22,1)),MIN(DAY(EOMONTH(EDATE(B22,1),0)),Cronograma_KORI!$B$6)),"")</f>
        <v/>
      </c>
      <c r="D22" s="5" t="str">
        <f>IF(A22&gt;Cronograma_KORI!$B$4,"",IF(WEEKDAY(C22)=1,C22+1,C22))</f>
        <v/>
      </c>
      <c r="E22" t="str">
        <f t="shared" si="1"/>
        <v/>
      </c>
      <c r="F22" t="str">
        <f>IF(A22&lt;Cronograma_KORI!$B$4+1,F21-E22,"")</f>
        <v/>
      </c>
      <c r="G22" s="21" t="str">
        <f>IF(E22="","",(1+Cronograma_KORI!$B$5)^(E22/30)-1)</f>
        <v/>
      </c>
      <c r="H22" s="21" t="str">
        <f>IF(G22="","",IF(MONTH(D21)=MONTH(D22),1+G22+0*Cronograma_KORI!$B$8,IF(MONTH(D22)=IFERROR(MONTH(D23),0),1+G22+2*Cronograma_KORI!$B$8,1+G22+Cronograma_KORI!$B$8)))</f>
        <v/>
      </c>
      <c r="I22" t="str">
        <f>IF(A22&lt;Cronograma_KORI!$B$4+1,I21/H22,"")</f>
        <v/>
      </c>
      <c r="J22" s="2"/>
      <c r="K22" s="22"/>
      <c r="L22" s="22"/>
    </row>
    <row r="23" spans="1:13" x14ac:dyDescent="0.35">
      <c r="A23">
        <v>21</v>
      </c>
      <c r="B23" s="5" t="str">
        <f t="shared" si="0"/>
        <v/>
      </c>
      <c r="C23" s="5" t="str">
        <f>IF(A23&lt;=Cronograma_KORI!$B$4,DATE(YEAR(EDATE(B23,1)),MONTH(EDATE(B23,1)),MIN(DAY(EOMONTH(EDATE(B23,1),0)),Cronograma_KORI!$B$6)),"")</f>
        <v/>
      </c>
      <c r="D23" s="5" t="str">
        <f>IF(A23&gt;Cronograma_KORI!$B$4,"",IF(WEEKDAY(C23)=1,C23+1,C23))</f>
        <v/>
      </c>
      <c r="E23" t="str">
        <f t="shared" si="1"/>
        <v/>
      </c>
      <c r="F23" t="str">
        <f>IF(A23&lt;Cronograma_KORI!$B$4+1,F22-E23,"")</f>
        <v/>
      </c>
      <c r="G23" s="21" t="str">
        <f>IF(E23="","",(1+Cronograma_KORI!$B$5)^(E23/30)-1)</f>
        <v/>
      </c>
      <c r="H23" s="21" t="str">
        <f>IF(G23="","",IF(MONTH(D22)=MONTH(D23),1+G23+0*Cronograma_KORI!$B$8,IF(MONTH(D23)=IFERROR(MONTH(D24),0),1+G23+2*Cronograma_KORI!$B$8,1+G23+Cronograma_KORI!$B$8)))</f>
        <v/>
      </c>
      <c r="I23" t="str">
        <f>IF(A23&lt;Cronograma_KORI!$B$4+1,I22/H23,"")</f>
        <v/>
      </c>
      <c r="J23" s="2"/>
      <c r="K23" s="22"/>
      <c r="L23" s="22"/>
    </row>
    <row r="24" spans="1:13" x14ac:dyDescent="0.35">
      <c r="A24">
        <v>22</v>
      </c>
      <c r="B24" s="5" t="str">
        <f t="shared" si="0"/>
        <v/>
      </c>
      <c r="C24" s="5" t="str">
        <f>IF(A24&lt;=Cronograma_KORI!$B$4,DATE(YEAR(EDATE(B24,1)),MONTH(EDATE(B24,1)),MIN(DAY(EOMONTH(EDATE(B24,1),0)),Cronograma_KORI!$B$6)),"")</f>
        <v/>
      </c>
      <c r="D24" s="5" t="str">
        <f>IF(A24&gt;Cronograma_KORI!$B$4,"",IF(WEEKDAY(C24)=1,C24+1,C24))</f>
        <v/>
      </c>
      <c r="E24" t="str">
        <f t="shared" si="1"/>
        <v/>
      </c>
      <c r="F24" t="str">
        <f>IF(A24&lt;Cronograma_KORI!$B$4+1,F23-E24,"")</f>
        <v/>
      </c>
      <c r="G24" s="21" t="str">
        <f>IF(E24="","",(1+Cronograma_KORI!$B$5)^(E24/30)-1)</f>
        <v/>
      </c>
      <c r="H24" s="21" t="str">
        <f>IF(G24="","",IF(MONTH(D23)=MONTH(D24),1+G24+0*Cronograma_KORI!$B$8,IF(MONTH(D24)=IFERROR(MONTH(D25),0),1+G24+2*Cronograma_KORI!$B$8,1+G24+Cronograma_KORI!$B$8)))</f>
        <v/>
      </c>
      <c r="I24" t="str">
        <f>IF(A24&lt;Cronograma_KORI!$B$4+1,I23/H24,"")</f>
        <v/>
      </c>
      <c r="J24" s="2"/>
      <c r="K24" s="22"/>
      <c r="L24" s="22"/>
    </row>
    <row r="25" spans="1:13" x14ac:dyDescent="0.35">
      <c r="A25">
        <v>23</v>
      </c>
      <c r="B25" s="5" t="str">
        <f t="shared" si="0"/>
        <v/>
      </c>
      <c r="C25" s="5" t="str">
        <f>IF(A25&lt;=Cronograma_KORI!$B$4,DATE(YEAR(EDATE(B25,1)),MONTH(EDATE(B25,1)),MIN(DAY(EOMONTH(EDATE(B25,1),0)),Cronograma_KORI!$B$6)),"")</f>
        <v/>
      </c>
      <c r="D25" s="5" t="str">
        <f>IF(A25&gt;Cronograma_KORI!$B$4,"",IF(WEEKDAY(C25)=1,C25+1,C25))</f>
        <v/>
      </c>
      <c r="E25" t="str">
        <f t="shared" si="1"/>
        <v/>
      </c>
      <c r="F25" t="str">
        <f>IF(A25&lt;Cronograma_KORI!$B$4+1,F24-E25,"")</f>
        <v/>
      </c>
      <c r="G25" s="21" t="str">
        <f>IF(E25="","",(1+Cronograma_KORI!$B$5)^(E25/30)-1)</f>
        <v/>
      </c>
      <c r="H25" s="21" t="str">
        <f>IF(G25="","",IF(MONTH(D24)=MONTH(D25),1+G25+0*Cronograma_KORI!$B$8,IF(MONTH(D25)=IFERROR(MONTH(D26),0),1+G25+2*Cronograma_KORI!$B$8,1+G25+Cronograma_KORI!$B$8)))</f>
        <v/>
      </c>
      <c r="I25" t="str">
        <f>IF(A25&lt;Cronograma_KORI!$B$4+1,I24/H25,"")</f>
        <v/>
      </c>
      <c r="J25" s="2"/>
      <c r="K25" s="22"/>
      <c r="L25" s="22"/>
    </row>
    <row r="26" spans="1:13" x14ac:dyDescent="0.35">
      <c r="A26">
        <v>24</v>
      </c>
      <c r="B26" s="5" t="str">
        <f t="shared" si="0"/>
        <v/>
      </c>
      <c r="C26" s="5" t="str">
        <f>IF(A26&lt;=Cronograma_KORI!$B$4,DATE(YEAR(EDATE(B26,1)),MONTH(EDATE(B26,1)),MIN(DAY(EOMONTH(EDATE(B26,1),0)),Cronograma_KORI!$B$6)),"")</f>
        <v/>
      </c>
      <c r="D26" s="5" t="str">
        <f>IF(A26&gt;Cronograma_KORI!$B$4,"",IF(WEEKDAY(C26)=1,C26+1,C26))</f>
        <v/>
      </c>
      <c r="E26" t="str">
        <f t="shared" si="1"/>
        <v/>
      </c>
      <c r="F26" t="str">
        <f>IF(A26&lt;Cronograma_KORI!$B$4+1,F25-E26,"")</f>
        <v/>
      </c>
      <c r="G26" s="21" t="str">
        <f>IF(E26="","",(1+Cronograma_KORI!$B$5)^(E26/30)-1)</f>
        <v/>
      </c>
      <c r="H26" s="21" t="str">
        <f>IF(G26="","",IF(MONTH(D25)=MONTH(D26),1+G26+0*Cronograma_KORI!$B$8,IF(MONTH(D26)=IFERROR(MONTH(D27),0),1+G26+2*Cronograma_KORI!$B$8,1+G26+Cronograma_KORI!$B$8)))</f>
        <v/>
      </c>
      <c r="I26" t="str">
        <f>IF(A26&lt;Cronograma_KORI!$B$4+1,I25/H26,"")</f>
        <v/>
      </c>
      <c r="J26" s="2"/>
      <c r="K26" s="22"/>
      <c r="L26" s="22"/>
    </row>
    <row r="27" spans="1:13" x14ac:dyDescent="0.35">
      <c r="A27">
        <v>25</v>
      </c>
      <c r="B27" s="5" t="str">
        <f t="shared" si="0"/>
        <v/>
      </c>
      <c r="C27" s="5" t="str">
        <f>IF(A27&lt;=Cronograma_KORI!$B$4,DATE(YEAR(EDATE(B27,1)),MONTH(EDATE(B27,1)),MIN(DAY(EOMONTH(EDATE(B27,1),0)),Cronograma_KORI!$B$6)),"")</f>
        <v/>
      </c>
      <c r="D27" s="5" t="str">
        <f>IF(A27&gt;Cronograma_KORI!$B$4,"",IF(WEEKDAY(C27)=1,C27+1,C27))</f>
        <v/>
      </c>
      <c r="E27" t="str">
        <f t="shared" si="1"/>
        <v/>
      </c>
      <c r="F27" t="str">
        <f>IF(A27&lt;Cronograma_KORI!$B$4+1,F26-E27,"")</f>
        <v/>
      </c>
      <c r="G27" s="21" t="str">
        <f>IF(E27="","",(1+Cronograma_KORI!$B$5)^(E27/30)-1)</f>
        <v/>
      </c>
      <c r="H27" s="21" t="str">
        <f>IF(G27="","",IF(MONTH(D26)=MONTH(D27),1+G27+0*Cronograma_KORI!$B$8,IF(MONTH(D27)=IFERROR(MONTH(D28),0),1+G27+2*Cronograma_KORI!$B$8,1+G27+Cronograma_KORI!$B$8)))</f>
        <v/>
      </c>
      <c r="I27" t="str">
        <f>IF(A27&lt;Cronograma_KORI!$B$4+1,I26/H27,"")</f>
        <v/>
      </c>
      <c r="J27" s="2"/>
      <c r="K27" s="22"/>
      <c r="L27" s="22"/>
    </row>
    <row r="28" spans="1:13" x14ac:dyDescent="0.35">
      <c r="A28">
        <v>26</v>
      </c>
      <c r="B28" s="5" t="str">
        <f t="shared" si="0"/>
        <v/>
      </c>
      <c r="C28" s="5" t="str">
        <f>IF(A28&lt;=Cronograma_KORI!$B$4,DATE(YEAR(EDATE(B28,1)),MONTH(EDATE(B28,1)),MIN(DAY(EOMONTH(EDATE(B28,1),0)),Cronograma_KORI!$B$6)),"")</f>
        <v/>
      </c>
      <c r="D28" s="5" t="str">
        <f>IF(A28&gt;Cronograma_KORI!$B$4,"",IF(WEEKDAY(C28)=1,C28+1,C28))</f>
        <v/>
      </c>
      <c r="E28" t="str">
        <f t="shared" si="1"/>
        <v/>
      </c>
      <c r="F28" t="str">
        <f>IF(A28&lt;Cronograma_KORI!$B$4+1,F27-E28,"")</f>
        <v/>
      </c>
      <c r="G28" s="21" t="str">
        <f>IF(E28="","",(1+Cronograma_KORI!$B$5)^(E28/30)-1)</f>
        <v/>
      </c>
      <c r="H28" s="21" t="str">
        <f>IF(G28="","",IF(MONTH(D27)=MONTH(D28),1+G28+0*Cronograma_KORI!$B$8,IF(MONTH(D28)=IFERROR(MONTH(D29),0),1+G28+2*Cronograma_KORI!$B$8,1+G28+Cronograma_KORI!$B$8)))</f>
        <v/>
      </c>
      <c r="I28" t="str">
        <f>IF(A28&lt;Cronograma_KORI!$B$4+1,I27/H28,"")</f>
        <v/>
      </c>
      <c r="J28" s="2"/>
      <c r="K28" s="22"/>
      <c r="L28" s="22"/>
    </row>
    <row r="29" spans="1:13" x14ac:dyDescent="0.35">
      <c r="A29">
        <v>27</v>
      </c>
      <c r="B29" s="5" t="str">
        <f t="shared" si="0"/>
        <v/>
      </c>
      <c r="C29" s="5" t="str">
        <f>IF(A29&lt;=Cronograma_KORI!$B$4,DATE(YEAR(EDATE(B29,1)),MONTH(EDATE(B29,1)),MIN(DAY(EOMONTH(EDATE(B29,1),0)),Cronograma_KORI!$B$6)),"")</f>
        <v/>
      </c>
      <c r="D29" s="5" t="str">
        <f>IF(A29&gt;Cronograma_KORI!$B$4,"",IF(WEEKDAY(C29)=1,C29+1,C29))</f>
        <v/>
      </c>
      <c r="E29" t="str">
        <f t="shared" si="1"/>
        <v/>
      </c>
      <c r="F29" t="str">
        <f>IF(A29&lt;Cronograma_KORI!$B$4+1,F28-E29,"")</f>
        <v/>
      </c>
      <c r="G29" s="21" t="str">
        <f>IF(E29="","",(1+Cronograma_KORI!$B$5)^(E29/30)-1)</f>
        <v/>
      </c>
      <c r="H29" s="21" t="str">
        <f>IF(G29="","",IF(MONTH(D28)=MONTH(D29),1+G29+0*Cronograma_KORI!$B$8,IF(MONTH(D29)=IFERROR(MONTH(D30),0),1+G29+2*Cronograma_KORI!$B$8,1+G29+Cronograma_KORI!$B$8)))</f>
        <v/>
      </c>
      <c r="I29" t="str">
        <f>IF(A29&lt;Cronograma_KORI!$B$4+1,I28/H29,"")</f>
        <v/>
      </c>
      <c r="J29" s="2"/>
      <c r="K29" s="22"/>
      <c r="L29" s="22"/>
    </row>
    <row r="30" spans="1:13" x14ac:dyDescent="0.35">
      <c r="A30">
        <v>28</v>
      </c>
      <c r="B30" s="5" t="str">
        <f t="shared" si="0"/>
        <v/>
      </c>
      <c r="C30" s="5" t="str">
        <f>IF(A30&lt;=Cronograma_KORI!$B$4,DATE(YEAR(EDATE(B30,1)),MONTH(EDATE(B30,1)),MIN(DAY(EOMONTH(EDATE(B30,1),0)),Cronograma_KORI!$B$6)),"")</f>
        <v/>
      </c>
      <c r="D30" s="5" t="str">
        <f>IF(A30&gt;Cronograma_KORI!$B$4,"",IF(WEEKDAY(C30)=1,C30+1,C30))</f>
        <v/>
      </c>
      <c r="E30" t="str">
        <f t="shared" si="1"/>
        <v/>
      </c>
      <c r="F30" t="str">
        <f>IF(A30&lt;Cronograma_KORI!$B$4+1,F29-E30,"")</f>
        <v/>
      </c>
      <c r="G30" s="21" t="str">
        <f>IF(E30="","",(1+Cronograma_KORI!$B$5)^(E30/30)-1)</f>
        <v/>
      </c>
      <c r="H30" s="21" t="str">
        <f>IF(G30="","",IF(MONTH(D29)=MONTH(D30),1+G30+0*Cronograma_KORI!$B$8,IF(MONTH(D30)=IFERROR(MONTH(D31),0),1+G30+2*Cronograma_KORI!$B$8,1+G30+Cronograma_KORI!$B$8)))</f>
        <v/>
      </c>
      <c r="I30" t="str">
        <f>IF(A30&lt;Cronograma_KORI!$B$4+1,I29/H30,"")</f>
        <v/>
      </c>
      <c r="J30" s="2"/>
      <c r="K30" s="22"/>
      <c r="L30" s="22"/>
    </row>
    <row r="31" spans="1:13" x14ac:dyDescent="0.35">
      <c r="A31">
        <v>29</v>
      </c>
      <c r="B31" s="5" t="str">
        <f t="shared" si="0"/>
        <v/>
      </c>
      <c r="C31" s="5" t="str">
        <f>IF(A31&lt;=Cronograma_KORI!$B$4,DATE(YEAR(EDATE(B31,1)),MONTH(EDATE(B31,1)),MIN(DAY(EOMONTH(EDATE(B31,1),0)),Cronograma_KORI!$B$6)),"")</f>
        <v/>
      </c>
      <c r="D31" s="5" t="str">
        <f>IF(A31&gt;Cronograma_KORI!$B$4,"",IF(WEEKDAY(C31)=1,C31+1,C31))</f>
        <v/>
      </c>
      <c r="E31" t="str">
        <f t="shared" si="1"/>
        <v/>
      </c>
      <c r="F31" t="str">
        <f>IF(A31&lt;Cronograma_KORI!$B$4+1,F30-E31,"")</f>
        <v/>
      </c>
      <c r="G31" s="21" t="str">
        <f>IF(E31="","",(1+Cronograma_KORI!$B$5)^(E31/30)-1)</f>
        <v/>
      </c>
      <c r="H31" s="21" t="str">
        <f>IF(G31="","",IF(MONTH(D30)=MONTH(D31),1+G31+0*Cronograma_KORI!$B$8,IF(MONTH(D31)=IFERROR(MONTH(D32),0),1+G31+2*Cronograma_KORI!$B$8,1+G31+Cronograma_KORI!$B$8)))</f>
        <v/>
      </c>
      <c r="I31" t="str">
        <f>IF(A31&lt;Cronograma_KORI!$B$4+1,I30/H31,"")</f>
        <v/>
      </c>
      <c r="J31" s="2"/>
      <c r="K31" s="22"/>
      <c r="L31" s="22"/>
    </row>
    <row r="32" spans="1:13" x14ac:dyDescent="0.35">
      <c r="A32">
        <v>30</v>
      </c>
      <c r="B32" s="5" t="str">
        <f t="shared" si="0"/>
        <v/>
      </c>
      <c r="C32" s="5" t="str">
        <f>IF(A32&lt;=Cronograma_KORI!$B$4,DATE(YEAR(EDATE(B32,1)),MONTH(EDATE(B32,1)),MIN(DAY(EOMONTH(EDATE(B32,1),0)),Cronograma_KORI!$B$6)),"")</f>
        <v/>
      </c>
      <c r="D32" s="5" t="str">
        <f>IF(A32&gt;Cronograma_KORI!$B$4,"",IF(WEEKDAY(C32)=1,C32+1,C32))</f>
        <v/>
      </c>
      <c r="E32" t="str">
        <f t="shared" si="1"/>
        <v/>
      </c>
      <c r="F32" t="str">
        <f>IF(A32&lt;Cronograma_KORI!$B$4+1,F31-E32,"")</f>
        <v/>
      </c>
      <c r="G32" s="21" t="str">
        <f>IF(E32="","",(1+Cronograma_KORI!$B$5)^(E32/30)-1)</f>
        <v/>
      </c>
      <c r="H32" s="21" t="str">
        <f>IF(G32="","",IF(MONTH(D31)=MONTH(D32),1+G32+0*Cronograma_KORI!$B$8,IF(MONTH(D32)=IFERROR(MONTH(D33),0),1+G32+2*Cronograma_KORI!$B$8,1+G32+Cronograma_KORI!$B$8)))</f>
        <v/>
      </c>
      <c r="I32" t="str">
        <f>IF(A32&lt;Cronograma_KORI!$B$4+1,I31/H32,"")</f>
        <v/>
      </c>
      <c r="J32" s="2"/>
      <c r="K32" s="22"/>
      <c r="L32" s="22"/>
    </row>
    <row r="33" spans="1:12" x14ac:dyDescent="0.35">
      <c r="A33">
        <v>31</v>
      </c>
      <c r="B33" s="5" t="str">
        <f t="shared" si="0"/>
        <v/>
      </c>
      <c r="C33" s="5" t="str">
        <f>IF(A33&lt;=Cronograma_KORI!$B$4,DATE(YEAR(EDATE(B33,1)),MONTH(EDATE(B33,1)),MIN(DAY(EOMONTH(EDATE(B33,1),0)),Cronograma_KORI!$B$6)),"")</f>
        <v/>
      </c>
      <c r="D33" s="5" t="str">
        <f>IF(A33&gt;Cronograma_KORI!$B$4,"",IF(WEEKDAY(C33)=1,C33+1,C33))</f>
        <v/>
      </c>
      <c r="E33" t="str">
        <f t="shared" si="1"/>
        <v/>
      </c>
      <c r="F33" t="str">
        <f>IF(A33&lt;Cronograma_KORI!$B$4+1,F32-E33,"")</f>
        <v/>
      </c>
      <c r="G33" s="21" t="str">
        <f>IF(E33="","",(1+Cronograma_KORI!$B$5)^(E33/30)-1)</f>
        <v/>
      </c>
      <c r="H33" s="21" t="str">
        <f>IF(G33="","",IF(MONTH(D32)=MONTH(D33),1+G33+0*Cronograma_KORI!$B$8,IF(MONTH(D33)=IFERROR(MONTH(D34),0),1+G33+2*Cronograma_KORI!$B$8,1+G33+Cronograma_KORI!$B$8)))</f>
        <v/>
      </c>
      <c r="I33" t="str">
        <f>IF(A33&lt;Cronograma_KORI!$B$4+1,I32/H33,"")</f>
        <v/>
      </c>
      <c r="J33" s="2"/>
      <c r="K33" s="22"/>
      <c r="L33" s="22"/>
    </row>
    <row r="34" spans="1:12" x14ac:dyDescent="0.35">
      <c r="A34">
        <v>32</v>
      </c>
      <c r="B34" s="5" t="str">
        <f t="shared" si="0"/>
        <v/>
      </c>
      <c r="C34" s="5" t="str">
        <f>IF(A34&lt;=Cronograma_KORI!$B$4,DATE(YEAR(EDATE(B34,1)),MONTH(EDATE(B34,1)),MIN(DAY(EOMONTH(EDATE(B34,1),0)),Cronograma_KORI!$B$6)),"")</f>
        <v/>
      </c>
      <c r="D34" s="5" t="str">
        <f>IF(A34&gt;Cronograma_KORI!$B$4,"",IF(WEEKDAY(C34)=1,C34+1,C34))</f>
        <v/>
      </c>
      <c r="E34" t="str">
        <f t="shared" si="1"/>
        <v/>
      </c>
      <c r="F34" t="str">
        <f>IF(A34&lt;Cronograma_KORI!$B$4+1,F33-E34,"")</f>
        <v/>
      </c>
      <c r="G34" s="21" t="str">
        <f>IF(E34="","",(1+Cronograma_KORI!$B$5)^(E34/30)-1)</f>
        <v/>
      </c>
      <c r="H34" s="21" t="str">
        <f>IF(G34="","",IF(MONTH(D33)=MONTH(D34),1+G34+0*Cronograma_KORI!$B$8,IF(MONTH(D34)=IFERROR(MONTH(D35),0),1+G34+2*Cronograma_KORI!$B$8,1+G34+Cronograma_KORI!$B$8)))</f>
        <v/>
      </c>
      <c r="I34" t="str">
        <f>IF(A34&lt;Cronograma_KORI!$B$4+1,I33/H34,"")</f>
        <v/>
      </c>
      <c r="J34" s="2"/>
      <c r="K34" s="22"/>
      <c r="L34" s="22"/>
    </row>
    <row r="35" spans="1:12" x14ac:dyDescent="0.35">
      <c r="A35">
        <v>33</v>
      </c>
      <c r="B35" s="5" t="str">
        <f t="shared" si="0"/>
        <v/>
      </c>
      <c r="C35" s="5" t="str">
        <f>IF(A35&lt;=Cronograma_KORI!$B$4,DATE(YEAR(EDATE(B35,1)),MONTH(EDATE(B35,1)),MIN(DAY(EOMONTH(EDATE(B35,1),0)),Cronograma_KORI!$B$6)),"")</f>
        <v/>
      </c>
      <c r="D35" s="5" t="str">
        <f>IF(A35&gt;Cronograma_KORI!$B$4,"",IF(WEEKDAY(C35)=1,C35+1,C35))</f>
        <v/>
      </c>
      <c r="E35" t="str">
        <f t="shared" si="1"/>
        <v/>
      </c>
      <c r="F35" t="str">
        <f>IF(A35&lt;Cronograma_KORI!$B$4+1,F34-E35,"")</f>
        <v/>
      </c>
      <c r="G35" s="21" t="str">
        <f>IF(E35="","",(1+Cronograma_KORI!$B$5)^(E35/30)-1)</f>
        <v/>
      </c>
      <c r="H35" s="21" t="str">
        <f>IF(G35="","",IF(MONTH(D34)=MONTH(D35),1+G35+0*Cronograma_KORI!$B$8,IF(MONTH(D35)=IFERROR(MONTH(D36),0),1+G35+2*Cronograma_KORI!$B$8,1+G35+Cronograma_KORI!$B$8)))</f>
        <v/>
      </c>
      <c r="I35" t="str">
        <f>IF(A35&lt;Cronograma_KORI!$B$4+1,I34/H35,"")</f>
        <v/>
      </c>
      <c r="J35" s="2"/>
      <c r="K35" s="22"/>
      <c r="L35" s="22"/>
    </row>
    <row r="36" spans="1:12" x14ac:dyDescent="0.35">
      <c r="A36">
        <v>34</v>
      </c>
      <c r="B36" s="5" t="str">
        <f t="shared" si="0"/>
        <v/>
      </c>
      <c r="C36" s="5" t="str">
        <f>IF(A36&lt;=Cronograma_KORI!$B$4,DATE(YEAR(EDATE(B36,1)),MONTH(EDATE(B36,1)),MIN(DAY(EOMONTH(EDATE(B36,1),0)),Cronograma_KORI!$B$6)),"")</f>
        <v/>
      </c>
      <c r="D36" s="5" t="str">
        <f>IF(A36&gt;Cronograma_KORI!$B$4,"",IF(WEEKDAY(C36)=1,C36+1,C36))</f>
        <v/>
      </c>
      <c r="E36" t="str">
        <f t="shared" si="1"/>
        <v/>
      </c>
      <c r="F36" t="str">
        <f>IF(A36&lt;Cronograma_KORI!$B$4+1,F35-E36,"")</f>
        <v/>
      </c>
      <c r="G36" s="21" t="str">
        <f>IF(E36="","",(1+Cronograma_KORI!$B$5)^(E36/30)-1)</f>
        <v/>
      </c>
      <c r="H36" s="21" t="str">
        <f>IF(G36="","",IF(MONTH(D35)=MONTH(D36),1+G36+0*Cronograma_KORI!$B$8,IF(MONTH(D36)=IFERROR(MONTH(D37),0),1+G36+2*Cronograma_KORI!$B$8,1+G36+Cronograma_KORI!$B$8)))</f>
        <v/>
      </c>
      <c r="I36" t="str">
        <f>IF(A36&lt;Cronograma_KORI!$B$4+1,I35/H36,"")</f>
        <v/>
      </c>
      <c r="J36" s="2"/>
      <c r="K36" s="22"/>
      <c r="L36" s="22"/>
    </row>
    <row r="37" spans="1:12" x14ac:dyDescent="0.35">
      <c r="A37">
        <v>35</v>
      </c>
      <c r="B37" s="5" t="str">
        <f t="shared" si="0"/>
        <v/>
      </c>
      <c r="C37" s="5" t="str">
        <f>IF(A37&lt;=Cronograma_KORI!$B$4,DATE(YEAR(EDATE(B37,1)),MONTH(EDATE(B37,1)),MIN(DAY(EOMONTH(EDATE(B37,1),0)),Cronograma_KORI!$B$6)),"")</f>
        <v/>
      </c>
      <c r="D37" s="5" t="str">
        <f>IF(A37&gt;Cronograma_KORI!$B$4,"",IF(WEEKDAY(C37)=1,C37+1,C37))</f>
        <v/>
      </c>
      <c r="E37" t="str">
        <f t="shared" si="1"/>
        <v/>
      </c>
      <c r="F37" t="str">
        <f>IF(A37&lt;Cronograma_KORI!$B$4+1,F36-E37,"")</f>
        <v/>
      </c>
      <c r="G37" s="21" t="str">
        <f>IF(E37="","",(1+Cronograma_KORI!$B$5)^(E37/30)-1)</f>
        <v/>
      </c>
      <c r="H37" s="21" t="str">
        <f>IF(G37="","",IF(MONTH(D36)=MONTH(D37),1+G37+0*Cronograma_KORI!$B$8,IF(MONTH(D37)=IFERROR(MONTH(D38),0),1+G37+2*Cronograma_KORI!$B$8,1+G37+Cronograma_KORI!$B$8)))</f>
        <v/>
      </c>
      <c r="I37" t="str">
        <f>IF(A37&lt;Cronograma_KORI!$B$4+1,I36/H37,"")</f>
        <v/>
      </c>
      <c r="J37" s="2"/>
      <c r="K37" s="22"/>
      <c r="L37" s="22"/>
    </row>
    <row r="38" spans="1:12" x14ac:dyDescent="0.35">
      <c r="A38">
        <v>36</v>
      </c>
      <c r="B38" s="5" t="str">
        <f t="shared" si="0"/>
        <v/>
      </c>
      <c r="C38" s="5" t="str">
        <f>IF(A38&lt;=Cronograma_KORI!$B$4,DATE(YEAR(EDATE(B38,1)),MONTH(EDATE(B38,1)),MIN(DAY(EOMONTH(EDATE(B38,1),0)),Cronograma_KORI!$B$6)),"")</f>
        <v/>
      </c>
      <c r="D38" s="5" t="str">
        <f>IF(A38&gt;Cronograma_KORI!$B$4,"",IF(WEEKDAY(C38)=1,C38+1,C38))</f>
        <v/>
      </c>
      <c r="E38" t="str">
        <f t="shared" si="1"/>
        <v/>
      </c>
      <c r="F38" t="str">
        <f>IF(A38&lt;Cronograma_KORI!$B$4+1,F37-E38,"")</f>
        <v/>
      </c>
      <c r="G38" s="21" t="str">
        <f>IF(E38="","",(1+Cronograma_KORI!$B$5)^(E38/30)-1)</f>
        <v/>
      </c>
      <c r="H38" s="21" t="str">
        <f>IF(G38="","",IF(MONTH(D37)=MONTH(D38),1+G38+0*Cronograma_KORI!$B$8,IF(MONTH(D38)=IFERROR(MONTH(D39),0),1+G38+2*Cronograma_KORI!$B$8,1+G38+Cronograma_KORI!$B$8)))</f>
        <v/>
      </c>
      <c r="I38" t="str">
        <f>IF(A38&lt;Cronograma_KORI!$B$4+1,I37/H38,"")</f>
        <v/>
      </c>
      <c r="J38" s="2"/>
      <c r="K38" s="22"/>
      <c r="L38" s="22"/>
    </row>
    <row r="39" spans="1:12" x14ac:dyDescent="0.35">
      <c r="A39">
        <v>37</v>
      </c>
      <c r="B39" s="5" t="str">
        <f t="shared" si="0"/>
        <v/>
      </c>
      <c r="C39" s="5" t="str">
        <f>IF(A39&lt;=Cronograma_KORI!$B$4,DATE(YEAR(EDATE(B39,1)),MONTH(EDATE(B39,1)),MIN(DAY(EOMONTH(EDATE(B39,1),0)),Cronograma_KORI!$B$6)),"")</f>
        <v/>
      </c>
      <c r="D39" s="5" t="str">
        <f>IF(A39&gt;Cronograma_KORI!$B$4,"",IF(WEEKDAY(C39)=1,C39+1,C39))</f>
        <v/>
      </c>
      <c r="E39" t="str">
        <f t="shared" si="1"/>
        <v/>
      </c>
      <c r="F39" t="str">
        <f>IF(A39&lt;Cronograma_KORI!$B$4+1,F38-E39,"")</f>
        <v/>
      </c>
      <c r="G39" s="21" t="str">
        <f>IF(E39="","",(1+Cronograma_KORI!$B$5)^(E39/30)-1)</f>
        <v/>
      </c>
      <c r="H39" s="21" t="str">
        <f>IF(G39="","",IF(MONTH(D38)=MONTH(D39),1+G39+0*Cronograma_KORI!$B$8,IF(MONTH(D39)=IFERROR(MONTH(D40),0),1+G39+2*Cronograma_KORI!$B$8,1+G39+Cronograma_KORI!$B$8)))</f>
        <v/>
      </c>
      <c r="I39" t="str">
        <f>IF(A39&lt;Cronograma_KORI!$B$4+1,I38/H39,"")</f>
        <v/>
      </c>
      <c r="J39" s="2"/>
      <c r="K39" s="22"/>
      <c r="L39" s="22"/>
    </row>
    <row r="40" spans="1:12" x14ac:dyDescent="0.35">
      <c r="A40">
        <v>38</v>
      </c>
      <c r="B40" s="5" t="str">
        <f t="shared" si="0"/>
        <v/>
      </c>
      <c r="C40" s="5" t="str">
        <f>IF(A40&lt;=Cronograma_KORI!$B$4,DATE(YEAR(EDATE(B40,1)),MONTH(EDATE(B40,1)),MIN(DAY(EOMONTH(EDATE(B40,1),0)),Cronograma_KORI!$B$6)),"")</f>
        <v/>
      </c>
      <c r="D40" s="5" t="str">
        <f>IF(A40&gt;Cronograma_KORI!$B$4,"",IF(WEEKDAY(C40)=1,C40+1,C40))</f>
        <v/>
      </c>
      <c r="E40" t="str">
        <f t="shared" si="1"/>
        <v/>
      </c>
      <c r="F40" t="str">
        <f>IF(A40&lt;Cronograma_KORI!$B$4+1,F39-E40,"")</f>
        <v/>
      </c>
      <c r="G40" s="21" t="str">
        <f>IF(E40="","",(1+Cronograma_KORI!$B$5)^(E40/30)-1)</f>
        <v/>
      </c>
      <c r="H40" s="21" t="str">
        <f>IF(G40="","",IF(MONTH(D39)=MONTH(D40),1+G40+0*Cronograma_KORI!$B$8,IF(MONTH(D40)=IFERROR(MONTH(D41),0),1+G40+2*Cronograma_KORI!$B$8,1+G40+Cronograma_KORI!$B$8)))</f>
        <v/>
      </c>
      <c r="I40" t="str">
        <f>IF(A40&lt;Cronograma_KORI!$B$4+1,I39/H40,"")</f>
        <v/>
      </c>
      <c r="J40" s="2"/>
      <c r="K40" s="22"/>
      <c r="L40" s="22"/>
    </row>
    <row r="41" spans="1:12" x14ac:dyDescent="0.35">
      <c r="A41">
        <v>39</v>
      </c>
      <c r="B41" s="5" t="str">
        <f t="shared" si="0"/>
        <v/>
      </c>
      <c r="C41" s="5" t="str">
        <f>IF(A41&lt;=Cronograma_KORI!$B$4,DATE(YEAR(EDATE(B41,1)),MONTH(EDATE(B41,1)),MIN(DAY(EOMONTH(EDATE(B41,1),0)),Cronograma_KORI!$B$6)),"")</f>
        <v/>
      </c>
      <c r="D41" s="5" t="str">
        <f>IF(A41&gt;Cronograma_KORI!$B$4,"",IF(WEEKDAY(C41)=1,C41+1,C41))</f>
        <v/>
      </c>
      <c r="E41" t="str">
        <f t="shared" si="1"/>
        <v/>
      </c>
      <c r="F41" t="str">
        <f>IF(A41&lt;Cronograma_KORI!$B$4+1,F40-E41,"")</f>
        <v/>
      </c>
      <c r="G41" s="21" t="str">
        <f>IF(E41="","",(1+Cronograma_KORI!$B$5)^(E41/30)-1)</f>
        <v/>
      </c>
      <c r="H41" s="21" t="str">
        <f>IF(G41="","",IF(MONTH(D40)=MONTH(D41),1+G41+0*Cronograma_KORI!$B$8,IF(MONTH(D41)=IFERROR(MONTH(D42),0),1+G41+2*Cronograma_KORI!$B$8,1+G41+Cronograma_KORI!$B$8)))</f>
        <v/>
      </c>
      <c r="I41" t="str">
        <f>IF(A41&lt;Cronograma_KORI!$B$4+1,I40/H41,"")</f>
        <v/>
      </c>
      <c r="J41" s="2"/>
      <c r="K41" s="22"/>
      <c r="L41" s="22"/>
    </row>
    <row r="42" spans="1:12" x14ac:dyDescent="0.35">
      <c r="A42">
        <v>40</v>
      </c>
      <c r="B42" s="5" t="str">
        <f t="shared" si="0"/>
        <v/>
      </c>
      <c r="C42" s="5" t="str">
        <f>IF(A42&lt;=Cronograma_KORI!$B$4,DATE(YEAR(EDATE(B42,1)),MONTH(EDATE(B42,1)),MIN(DAY(EOMONTH(EDATE(B42,1),0)),Cronograma_KORI!$B$6)),"")</f>
        <v/>
      </c>
      <c r="D42" s="5" t="str">
        <f>IF(A42&gt;Cronograma_KORI!$B$4,"",IF(WEEKDAY(C42)=1,C42+1,C42))</f>
        <v/>
      </c>
      <c r="E42" t="str">
        <f t="shared" si="1"/>
        <v/>
      </c>
      <c r="F42" t="str">
        <f>IF(A42&lt;Cronograma_KORI!$B$4+1,F41-E42,"")</f>
        <v/>
      </c>
      <c r="G42" s="21" t="str">
        <f>IF(E42="","",(1+Cronograma_KORI!$B$5)^(E42/30)-1)</f>
        <v/>
      </c>
      <c r="H42" s="21" t="str">
        <f>IF(G42="","",IF(MONTH(D41)=MONTH(D42),1+G42+0*Cronograma_KORI!$B$8,IF(MONTH(D42)=IFERROR(MONTH(D43),0),1+G42+2*Cronograma_KORI!$B$8,1+G42+Cronograma_KORI!$B$8)))</f>
        <v/>
      </c>
      <c r="I42" t="str">
        <f>IF(A42&lt;Cronograma_KORI!$B$4+1,I41/H42,"")</f>
        <v/>
      </c>
      <c r="J42" s="2"/>
      <c r="K42" s="22"/>
      <c r="L42" s="22"/>
    </row>
    <row r="43" spans="1:12" x14ac:dyDescent="0.35">
      <c r="A43">
        <v>41</v>
      </c>
      <c r="B43" s="5" t="str">
        <f t="shared" si="0"/>
        <v/>
      </c>
      <c r="C43" s="5" t="str">
        <f>IF(A43&lt;=Cronograma_KORI!$B$4,DATE(YEAR(EDATE(B43,1)),MONTH(EDATE(B43,1)),MIN(DAY(EOMONTH(EDATE(B43,1),0)),Cronograma_KORI!$B$6)),"")</f>
        <v/>
      </c>
      <c r="D43" s="5" t="str">
        <f>IF(A43&gt;Cronograma_KORI!$B$4,"",IF(WEEKDAY(C43)=1,C43+1,C43))</f>
        <v/>
      </c>
      <c r="E43" t="str">
        <f t="shared" si="1"/>
        <v/>
      </c>
      <c r="F43" t="str">
        <f>IF(A43&lt;Cronograma_KORI!$B$4+1,F42-E43,"")</f>
        <v/>
      </c>
      <c r="G43" s="21" t="str">
        <f>IF(E43="","",(1+Cronograma_KORI!$B$5)^(E43/30)-1)</f>
        <v/>
      </c>
      <c r="H43" s="21" t="str">
        <f>IF(G43="","",IF(MONTH(D42)=MONTH(D43),1+G43+0*Cronograma_KORI!$B$8,IF(MONTH(D43)=IFERROR(MONTH(D44),0),1+G43+2*Cronograma_KORI!$B$8,1+G43+Cronograma_KORI!$B$8)))</f>
        <v/>
      </c>
      <c r="I43" t="str">
        <f>IF(A43&lt;Cronograma_KORI!$B$4+1,I42/H43,"")</f>
        <v/>
      </c>
      <c r="J43" s="2"/>
      <c r="K43" s="22"/>
      <c r="L43" s="22"/>
    </row>
    <row r="44" spans="1:12" x14ac:dyDescent="0.35">
      <c r="A44">
        <v>42</v>
      </c>
      <c r="B44" s="5" t="str">
        <f t="shared" si="0"/>
        <v/>
      </c>
      <c r="C44" s="5" t="str">
        <f>IF(A44&lt;=Cronograma_KORI!$B$4,DATE(YEAR(EDATE(B44,1)),MONTH(EDATE(B44,1)),MIN(DAY(EOMONTH(EDATE(B44,1),0)),Cronograma_KORI!$B$6)),"")</f>
        <v/>
      </c>
      <c r="D44" s="5" t="str">
        <f>IF(A44&gt;Cronograma_KORI!$B$4,"",IF(WEEKDAY(C44)=1,C44+1,C44))</f>
        <v/>
      </c>
      <c r="E44" t="str">
        <f t="shared" si="1"/>
        <v/>
      </c>
      <c r="F44" t="str">
        <f>IF(A44&lt;Cronograma_KORI!$B$4+1,F43-E44,"")</f>
        <v/>
      </c>
      <c r="G44" s="21" t="str">
        <f>IF(E44="","",(1+Cronograma_KORI!$B$5)^(E44/30)-1)</f>
        <v/>
      </c>
      <c r="H44" s="21" t="str">
        <f>IF(G44="","",IF(MONTH(D43)=MONTH(D44),1+G44+0*Cronograma_KORI!$B$8,IF(MONTH(D44)=IFERROR(MONTH(D45),0),1+G44+2*Cronograma_KORI!$B$8,1+G44+Cronograma_KORI!$B$8)))</f>
        <v/>
      </c>
      <c r="I44" t="str">
        <f>IF(A44&lt;Cronograma_KORI!$B$4+1,I43/H44,"")</f>
        <v/>
      </c>
      <c r="J44" s="2"/>
      <c r="K44" s="22"/>
      <c r="L44" s="22"/>
    </row>
    <row r="45" spans="1:12" x14ac:dyDescent="0.35">
      <c r="A45">
        <v>43</v>
      </c>
      <c r="B45" s="5" t="str">
        <f t="shared" si="0"/>
        <v/>
      </c>
      <c r="C45" s="5" t="str">
        <f>IF(A45&lt;=Cronograma_KORI!$B$4,DATE(YEAR(EDATE(B45,1)),MONTH(EDATE(B45,1)),MIN(DAY(EOMONTH(EDATE(B45,1),0)),Cronograma_KORI!$B$6)),"")</f>
        <v/>
      </c>
      <c r="D45" s="5" t="str">
        <f>IF(A45&gt;Cronograma_KORI!$B$4,"",IF(WEEKDAY(C45)=1,C45+1,C45))</f>
        <v/>
      </c>
      <c r="E45" t="str">
        <f t="shared" si="1"/>
        <v/>
      </c>
      <c r="F45" t="str">
        <f>IF(A45&lt;Cronograma_KORI!$B$4+1,F44-E45,"")</f>
        <v/>
      </c>
      <c r="G45" s="21" t="str">
        <f>IF(E45="","",(1+Cronograma_KORI!$B$5)^(E45/30)-1)</f>
        <v/>
      </c>
      <c r="H45" s="21" t="str">
        <f>IF(G45="","",IF(MONTH(D44)=MONTH(D45),1+G45+0*Cronograma_KORI!$B$8,IF(MONTH(D45)=IFERROR(MONTH(D46),0),1+G45+2*Cronograma_KORI!$B$8,1+G45+Cronograma_KORI!$B$8)))</f>
        <v/>
      </c>
      <c r="I45" t="str">
        <f>IF(A45&lt;Cronograma_KORI!$B$4+1,I44/H45,"")</f>
        <v/>
      </c>
      <c r="J45" s="2"/>
      <c r="K45" s="22"/>
      <c r="L45" s="22"/>
    </row>
    <row r="46" spans="1:12" x14ac:dyDescent="0.35">
      <c r="A46">
        <v>44</v>
      </c>
      <c r="B46" s="5" t="str">
        <f t="shared" si="0"/>
        <v/>
      </c>
      <c r="C46" s="5" t="str">
        <f>IF(A46&lt;=Cronograma_KORI!$B$4,DATE(YEAR(EDATE(B46,1)),MONTH(EDATE(B46,1)),MIN(DAY(EOMONTH(EDATE(B46,1),0)),Cronograma_KORI!$B$6)),"")</f>
        <v/>
      </c>
      <c r="D46" s="5" t="str">
        <f>IF(A46&gt;Cronograma_KORI!$B$4,"",IF(WEEKDAY(C46)=1,C46+1,C46))</f>
        <v/>
      </c>
      <c r="E46" t="str">
        <f t="shared" si="1"/>
        <v/>
      </c>
      <c r="F46" t="str">
        <f>IF(A46&lt;Cronograma_KORI!$B$4+1,F45-E46,"")</f>
        <v/>
      </c>
      <c r="G46" s="21" t="str">
        <f>IF(E46="","",(1+Cronograma_KORI!$B$5)^(E46/30)-1)</f>
        <v/>
      </c>
      <c r="H46" s="21" t="str">
        <f>IF(G46="","",IF(MONTH(D45)=MONTH(D46),1+G46+0*Cronograma_KORI!$B$8,IF(MONTH(D46)=IFERROR(MONTH(D47),0),1+G46+2*Cronograma_KORI!$B$8,1+G46+Cronograma_KORI!$B$8)))</f>
        <v/>
      </c>
      <c r="I46" t="str">
        <f>IF(A46&lt;Cronograma_KORI!$B$4+1,I45/H46,"")</f>
        <v/>
      </c>
      <c r="J46" s="2"/>
      <c r="K46" s="22"/>
      <c r="L46" s="22"/>
    </row>
    <row r="47" spans="1:12" x14ac:dyDescent="0.35">
      <c r="A47">
        <v>45</v>
      </c>
      <c r="B47" s="5" t="str">
        <f t="shared" si="0"/>
        <v/>
      </c>
      <c r="C47" s="5" t="str">
        <f>IF(A47&lt;=Cronograma_KORI!$B$4,DATE(YEAR(EDATE(B47,1)),MONTH(EDATE(B47,1)),MIN(DAY(EOMONTH(EDATE(B47,1),0)),Cronograma_KORI!$B$6)),"")</f>
        <v/>
      </c>
      <c r="D47" s="5" t="str">
        <f>IF(A47&gt;Cronograma_KORI!$B$4,"",IF(WEEKDAY(C47)=1,C47+1,C47))</f>
        <v/>
      </c>
      <c r="E47" t="str">
        <f t="shared" si="1"/>
        <v/>
      </c>
      <c r="F47" t="str">
        <f>IF(A47&lt;Cronograma_KORI!$B$4+1,F46-E47,"")</f>
        <v/>
      </c>
      <c r="G47" s="21" t="str">
        <f>IF(E47="","",(1+Cronograma_KORI!$B$5)^(E47/30)-1)</f>
        <v/>
      </c>
      <c r="H47" s="21" t="str">
        <f>IF(G47="","",IF(MONTH(D46)=MONTH(D47),1+G47+0*Cronograma_KORI!$B$8,IF(MONTH(D47)=IFERROR(MONTH(D48),0),1+G47+2*Cronograma_KORI!$B$8,1+G47+Cronograma_KORI!$B$8)))</f>
        <v/>
      </c>
      <c r="I47" t="str">
        <f>IF(A47&lt;Cronograma_KORI!$B$4+1,I46/H47,"")</f>
        <v/>
      </c>
      <c r="J47" s="2"/>
      <c r="K47" s="22"/>
      <c r="L47" s="22"/>
    </row>
    <row r="48" spans="1:12" x14ac:dyDescent="0.35">
      <c r="A48">
        <v>46</v>
      </c>
      <c r="B48" s="5" t="str">
        <f t="shared" si="0"/>
        <v/>
      </c>
      <c r="C48" s="5" t="str">
        <f>IF(A48&lt;=Cronograma_KORI!$B$4,DATE(YEAR(EDATE(B48,1)),MONTH(EDATE(B48,1)),MIN(DAY(EOMONTH(EDATE(B48,1),0)),Cronograma_KORI!$B$6)),"")</f>
        <v/>
      </c>
      <c r="D48" s="5" t="str">
        <f>IF(A48&gt;Cronograma_KORI!$B$4,"",IF(WEEKDAY(C48)=1,C48+1,C48))</f>
        <v/>
      </c>
      <c r="E48" t="str">
        <f t="shared" si="1"/>
        <v/>
      </c>
      <c r="F48" t="str">
        <f>IF(A48&lt;Cronograma_KORI!$B$4+1,F47-E48,"")</f>
        <v/>
      </c>
      <c r="G48" s="21" t="str">
        <f>IF(E48="","",(1+Cronograma_KORI!$B$5)^(E48/30)-1)</f>
        <v/>
      </c>
      <c r="H48" s="21" t="str">
        <f>IF(G48="","",IF(MONTH(D47)=MONTH(D48),1+G48+0*Cronograma_KORI!$B$8,IF(MONTH(D48)=IFERROR(MONTH(D49),0),1+G48+2*Cronograma_KORI!$B$8,1+G48+Cronograma_KORI!$B$8)))</f>
        <v/>
      </c>
      <c r="I48" t="str">
        <f>IF(A48&lt;Cronograma_KORI!$B$4+1,I47/H48,"")</f>
        <v/>
      </c>
      <c r="J48" s="2"/>
      <c r="K48" s="22"/>
      <c r="L48" s="22"/>
    </row>
    <row r="49" spans="1:12" x14ac:dyDescent="0.35">
      <c r="A49">
        <v>47</v>
      </c>
      <c r="B49" s="5" t="str">
        <f t="shared" si="0"/>
        <v/>
      </c>
      <c r="C49" s="5" t="str">
        <f>IF(A49&lt;=Cronograma_KORI!$B$4,DATE(YEAR(EDATE(B49,1)),MONTH(EDATE(B49,1)),MIN(DAY(EOMONTH(EDATE(B49,1),0)),Cronograma_KORI!$B$6)),"")</f>
        <v/>
      </c>
      <c r="D49" s="5" t="str">
        <f>IF(A49&gt;Cronograma_KORI!$B$4,"",IF(WEEKDAY(C49)=1,C49+1,C49))</f>
        <v/>
      </c>
      <c r="E49" t="str">
        <f t="shared" si="1"/>
        <v/>
      </c>
      <c r="F49" t="str">
        <f>IF(A49&lt;Cronograma_KORI!$B$4+1,F48-E49,"")</f>
        <v/>
      </c>
      <c r="G49" s="21" t="str">
        <f>IF(E49="","",(1+Cronograma_KORI!$B$5)^(E49/30)-1)</f>
        <v/>
      </c>
      <c r="H49" s="21" t="str">
        <f>IF(G49="","",IF(MONTH(D48)=MONTH(D49),1+G49+0*Cronograma_KORI!$B$8,IF(MONTH(D49)=IFERROR(MONTH(D50),0),1+G49+2*Cronograma_KORI!$B$8,1+G49+Cronograma_KORI!$B$8)))</f>
        <v/>
      </c>
      <c r="I49" t="str">
        <f>IF(A49&lt;Cronograma_KORI!$B$4+1,I48/H49,"")</f>
        <v/>
      </c>
      <c r="J49" s="2"/>
      <c r="K49" s="22"/>
      <c r="L49" s="22"/>
    </row>
    <row r="50" spans="1:12" x14ac:dyDescent="0.35">
      <c r="A50">
        <v>48</v>
      </c>
      <c r="B50" s="5" t="str">
        <f t="shared" si="0"/>
        <v/>
      </c>
      <c r="C50" s="5" t="str">
        <f>IF(A50&lt;=Cronograma_KORI!$B$4,DATE(YEAR(EDATE(B50,1)),MONTH(EDATE(B50,1)),MIN(DAY(EOMONTH(EDATE(B50,1),0)),Cronograma_KORI!$B$6)),"")</f>
        <v/>
      </c>
      <c r="D50" s="5" t="str">
        <f>IF(A50&gt;Cronograma_KORI!$B$4,"",IF(WEEKDAY(C50)=1,C50+1,C50))</f>
        <v/>
      </c>
      <c r="E50" t="str">
        <f t="shared" si="1"/>
        <v/>
      </c>
      <c r="F50" t="str">
        <f>IF(A50&lt;Cronograma_KORI!$B$4+1,F49-E50,"")</f>
        <v/>
      </c>
      <c r="G50" s="21" t="str">
        <f>IF(E50="","",(1+Cronograma_KORI!$B$5)^(E50/30)-1)</f>
        <v/>
      </c>
      <c r="H50" s="21" t="str">
        <f>IF(G50="","",IF(MONTH(D49)=MONTH(D50),1+G50+0*Cronograma_KORI!$B$8,IF(MONTH(D50)=IFERROR(MONTH(D51),0),1+G50+2*Cronograma_KORI!$B$8,1+G50+Cronograma_KORI!$B$8)))</f>
        <v/>
      </c>
      <c r="I50" t="str">
        <f>IF(A50&lt;Cronograma_KORI!$B$4+1,I49/H50,"")</f>
        <v/>
      </c>
      <c r="J50" s="2"/>
      <c r="K50" s="22"/>
      <c r="L50" s="22"/>
    </row>
    <row r="51" spans="1:12" x14ac:dyDescent="0.35">
      <c r="A51">
        <v>49</v>
      </c>
      <c r="B51" s="5" t="str">
        <f t="shared" si="0"/>
        <v/>
      </c>
      <c r="C51" s="5" t="str">
        <f>IF(A51&lt;=Cronograma_KORI!$B$4,DATE(YEAR(EDATE(B51,1)),MONTH(EDATE(B51,1)),MIN(DAY(EOMONTH(EDATE(B51,1),0)),Cronograma_KORI!$B$6)),"")</f>
        <v/>
      </c>
      <c r="D51" s="5" t="str">
        <f>IF(A51&gt;Cronograma_KORI!$B$4,"",IF(WEEKDAY(C51)=1,C51+1,C51))</f>
        <v/>
      </c>
      <c r="E51" t="str">
        <f t="shared" si="1"/>
        <v/>
      </c>
      <c r="F51" t="str">
        <f>IF(A51&lt;Cronograma_KORI!$B$4+1,F50-E51,"")</f>
        <v/>
      </c>
      <c r="G51" s="21" t="str">
        <f>IF(E51="","",(1+Cronograma_KORI!$B$5)^(E51/30)-1)</f>
        <v/>
      </c>
      <c r="H51" s="21" t="str">
        <f>IF(G51="","",IF(MONTH(D50)=MONTH(D51),1+G51+0*Cronograma_KORI!$B$8,IF(MONTH(D51)=IFERROR(MONTH(D52),0),1+G51+2*Cronograma_KORI!$B$8,1+G51+Cronograma_KORI!$B$8)))</f>
        <v/>
      </c>
      <c r="I51" t="str">
        <f>IF(A51&lt;Cronograma_KORI!$B$4+1,I50/H51,"")</f>
        <v/>
      </c>
      <c r="J51" s="2"/>
      <c r="K51" s="22"/>
      <c r="L51" s="22"/>
    </row>
    <row r="52" spans="1:12" x14ac:dyDescent="0.35">
      <c r="A52">
        <v>50</v>
      </c>
      <c r="B52" s="5" t="str">
        <f t="shared" si="0"/>
        <v/>
      </c>
      <c r="C52" s="5" t="str">
        <f>IF(A52&lt;=Cronograma_KORI!$B$4,DATE(YEAR(EDATE(B52,1)),MONTH(EDATE(B52,1)),MIN(DAY(EOMONTH(EDATE(B52,1),0)),Cronograma_KORI!$B$6)),"")</f>
        <v/>
      </c>
      <c r="D52" s="5" t="str">
        <f>IF(A52&gt;Cronograma_KORI!$B$4,"",IF(WEEKDAY(C52)=1,C52+1,C52))</f>
        <v/>
      </c>
      <c r="E52" t="str">
        <f t="shared" si="1"/>
        <v/>
      </c>
      <c r="F52" t="str">
        <f>IF(A52&lt;Cronograma_KORI!$B$4+1,F51-E52,"")</f>
        <v/>
      </c>
      <c r="G52" s="21" t="str">
        <f>IF(E52="","",(1+Cronograma_KORI!$B$5)^(E52/30)-1)</f>
        <v/>
      </c>
      <c r="H52" s="21" t="str">
        <f>IF(G52="","",IF(MONTH(D51)=MONTH(D52),1+G52+0*Cronograma_KORI!$B$8,IF(MONTH(D52)=IFERROR(MONTH(D53),0),1+G52+2*Cronograma_KORI!$B$8,1+G52+Cronograma_KORI!$B$8)))</f>
        <v/>
      </c>
      <c r="I52" t="str">
        <f>IF(A52&lt;Cronograma_KORI!$B$4+1,I51/H52,"")</f>
        <v/>
      </c>
      <c r="J52" s="2"/>
      <c r="K52" s="22"/>
      <c r="L52" s="2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549318A478A640B2F7B433E003DCD7" ma:contentTypeVersion="9" ma:contentTypeDescription="Crear nuevo documento." ma:contentTypeScope="" ma:versionID="2dd2f4b214cc6c31c91b383c0b7e9b1e">
  <xsd:schema xmlns:xsd="http://www.w3.org/2001/XMLSchema" xmlns:xs="http://www.w3.org/2001/XMLSchema" xmlns:p="http://schemas.microsoft.com/office/2006/metadata/properties" xmlns:ns2="1bd0c9a7-d71d-44a3-be6d-ed21d55e42e9" targetNamespace="http://schemas.microsoft.com/office/2006/metadata/properties" ma:root="true" ma:fieldsID="42842583293960e95bec85b20bc4ac90" ns2:_="">
    <xsd:import namespace="1bd0c9a7-d71d-44a3-be6d-ed21d55e42e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0c9a7-d71d-44a3-be6d-ed21d55e42e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fa8a67a8-636a-4b10-80ab-ca3baa0f1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d0c9a7-d71d-44a3-be6d-ed21d55e42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9DC13E-D29B-4BC7-B107-41BCE7B5E5D7}"/>
</file>

<file path=customXml/itemProps2.xml><?xml version="1.0" encoding="utf-8"?>
<ds:datastoreItem xmlns:ds="http://schemas.openxmlformats.org/officeDocument/2006/customXml" ds:itemID="{19434AEB-2426-400B-9414-A1AF7328AB8D}"/>
</file>

<file path=customXml/itemProps3.xml><?xml version="1.0" encoding="utf-8"?>
<ds:datastoreItem xmlns:ds="http://schemas.openxmlformats.org/officeDocument/2006/customXml" ds:itemID="{18679DF6-DF05-44C1-BE81-E22856DEDA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Cronograma_KORI</vt:lpstr>
      <vt:lpstr>Tarifario_KORI</vt:lpstr>
      <vt:lpstr>Motor_KORI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ERICK ARIZACA</cp:lastModifiedBy>
  <dcterms:created xsi:type="dcterms:W3CDTF">2026-03-11T20:50:21Z</dcterms:created>
  <dcterms:modified xsi:type="dcterms:W3CDTF">2026-07-17T21:21:34Z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0x0101008A549318A478A640B2F7B433E003DCD7</vt:lpwstr>
  </property>
</Properties>
</file>