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jashira.cuadros\Downloads\"/>
    </mc:Choice>
  </mc:AlternateContent>
  <xr:revisionPtr revIDLastSave="0" documentId="13_ncr:1_{189DB341-607F-424E-8F62-9362D5C012CE}" xr6:coauthVersionLast="47" xr6:coauthVersionMax="47" xr10:uidLastSave="{00000000-0000-0000-0000-000000000000}"/>
  <bookViews>
    <workbookView xWindow="-110" yWindow="-110" windowWidth="19420" windowHeight="11500" firstSheet="5" activeTab="5" xr2:uid="{00000000-000D-0000-FFFF-FFFF00000000}"/>
  </bookViews>
  <sheets>
    <sheet name="Semilleros" sheetId="1" state="hidden" r:id="rId1"/>
    <sheet name="Llaxsa" sheetId="2" state="hidden" r:id="rId2"/>
    <sheet name="Qulqui" sheetId="3" state="hidden" r:id="rId3"/>
    <sheet name="Hoja1" sheetId="5" state="hidden" r:id="rId4"/>
    <sheet name="Kori" sheetId="4" state="hidden" r:id="rId5"/>
    <sheet name="Llaxsa (2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7" i="6" l="1"/>
  <c r="H10" i="6"/>
  <c r="G16" i="6"/>
  <c r="C16" i="6"/>
  <c r="C17" i="6"/>
  <c r="F24" i="6" l="1"/>
  <c r="F23" i="6"/>
  <c r="F22" i="6"/>
  <c r="F21" i="6"/>
  <c r="F20" i="6"/>
  <c r="F19" i="6"/>
  <c r="F18" i="6"/>
  <c r="G17" i="6"/>
  <c r="F17" i="6"/>
  <c r="C18" i="6"/>
  <c r="H13" i="2"/>
  <c r="H5" i="2"/>
  <c r="I8" i="2" s="1"/>
  <c r="C13" i="2"/>
  <c r="C14" i="2" s="1"/>
  <c r="C15" i="2" s="1"/>
  <c r="C16" i="2" s="1"/>
  <c r="C17" i="2" s="1"/>
  <c r="C18" i="2" s="1"/>
  <c r="C19" i="2" s="1"/>
  <c r="C20" i="2" s="1"/>
  <c r="I17" i="6" l="1"/>
  <c r="I8" i="6"/>
  <c r="H7" i="6"/>
  <c r="K17" i="6" s="1"/>
  <c r="D18" i="6"/>
  <c r="C19" i="6"/>
  <c r="D17" i="6"/>
  <c r="H7" i="2"/>
  <c r="H17" i="6" l="1"/>
  <c r="J8" i="6"/>
  <c r="M17" i="6"/>
  <c r="D19" i="6"/>
  <c r="C20" i="6"/>
  <c r="K20" i="6"/>
  <c r="K23" i="6"/>
  <c r="K18" i="6"/>
  <c r="K21" i="6"/>
  <c r="K22" i="6"/>
  <c r="K19" i="6"/>
  <c r="K13" i="2"/>
  <c r="K14" i="2"/>
  <c r="K15" i="2"/>
  <c r="K16" i="2"/>
  <c r="K17" i="2"/>
  <c r="K18" i="2"/>
  <c r="K19" i="2"/>
  <c r="N17" i="6" l="1"/>
  <c r="N21" i="6"/>
  <c r="N18" i="6"/>
  <c r="N23" i="6"/>
  <c r="N22" i="6"/>
  <c r="N20" i="6"/>
  <c r="C21" i="6"/>
  <c r="D20" i="6"/>
  <c r="N19" i="6"/>
  <c r="F16" i="2"/>
  <c r="F15" i="2"/>
  <c r="F17" i="2"/>
  <c r="D13" i="2"/>
  <c r="D15" i="2"/>
  <c r="D16" i="2"/>
  <c r="D17" i="2"/>
  <c r="D18" i="2"/>
  <c r="D19" i="2"/>
  <c r="D20" i="2"/>
  <c r="H3" i="5"/>
  <c r="G3" i="5"/>
  <c r="F3" i="5"/>
  <c r="H12" i="3"/>
  <c r="E19" i="4"/>
  <c r="E18" i="4"/>
  <c r="E17" i="4"/>
  <c r="E16" i="4"/>
  <c r="E15" i="4"/>
  <c r="E14" i="4"/>
  <c r="E13" i="4"/>
  <c r="F12" i="4"/>
  <c r="E12" i="4"/>
  <c r="C12" i="4"/>
  <c r="C13" i="4" s="1"/>
  <c r="C14" i="4" s="1"/>
  <c r="C15" i="4" s="1"/>
  <c r="C16" i="4" s="1"/>
  <c r="C17" i="4" s="1"/>
  <c r="C18" i="4" s="1"/>
  <c r="C19" i="4" s="1"/>
  <c r="G5" i="4"/>
  <c r="G7" i="4" s="1"/>
  <c r="E19" i="3"/>
  <c r="E18" i="3"/>
  <c r="E17" i="3"/>
  <c r="E16" i="3"/>
  <c r="E15" i="3"/>
  <c r="E14" i="3"/>
  <c r="E13" i="3"/>
  <c r="C13" i="3"/>
  <c r="C14" i="3" s="1"/>
  <c r="C15" i="3" s="1"/>
  <c r="C16" i="3" s="1"/>
  <c r="C17" i="3" s="1"/>
  <c r="C18" i="3" s="1"/>
  <c r="C19" i="3" s="1"/>
  <c r="F12" i="3"/>
  <c r="E12" i="3"/>
  <c r="C12" i="3"/>
  <c r="G5" i="3"/>
  <c r="G7" i="3" s="1"/>
  <c r="G13" i="2"/>
  <c r="E19" i="1"/>
  <c r="E18" i="1"/>
  <c r="E17" i="1"/>
  <c r="E16" i="1"/>
  <c r="E15" i="1"/>
  <c r="E14" i="1"/>
  <c r="E13" i="1"/>
  <c r="F12" i="1"/>
  <c r="H12" i="1" s="1"/>
  <c r="E12" i="1"/>
  <c r="C12" i="1"/>
  <c r="C13" i="1" s="1"/>
  <c r="C14" i="1" s="1"/>
  <c r="C15" i="1" s="1"/>
  <c r="C16" i="1" s="1"/>
  <c r="C17" i="1" s="1"/>
  <c r="C18" i="1" s="1"/>
  <c r="C19" i="1" s="1"/>
  <c r="G5" i="1"/>
  <c r="G7" i="1" s="1"/>
  <c r="G18" i="6" l="1"/>
  <c r="J18" i="6" s="1"/>
  <c r="L17" i="6"/>
  <c r="P17" i="6" s="1"/>
  <c r="O17" i="6"/>
  <c r="D21" i="6"/>
  <c r="C22" i="6"/>
  <c r="J13" i="2"/>
  <c r="J8" i="2" s="1"/>
  <c r="I13" i="2"/>
  <c r="D14" i="2"/>
  <c r="F18" i="2"/>
  <c r="K12" i="1"/>
  <c r="F14" i="2"/>
  <c r="F20" i="2"/>
  <c r="F19" i="2"/>
  <c r="F13" i="2"/>
  <c r="I12" i="1"/>
  <c r="G12" i="1" s="1"/>
  <c r="J12" i="1" s="1"/>
  <c r="I17" i="1"/>
  <c r="I14" i="1"/>
  <c r="I16" i="1"/>
  <c r="I18" i="1"/>
  <c r="I13" i="1"/>
  <c r="L13" i="1" s="1"/>
  <c r="I15" i="1"/>
  <c r="I16" i="3"/>
  <c r="I13" i="3"/>
  <c r="I18" i="3"/>
  <c r="I15" i="3"/>
  <c r="I12" i="3"/>
  <c r="L12" i="3" s="1"/>
  <c r="I17" i="3"/>
  <c r="I14" i="3"/>
  <c r="I18" i="4"/>
  <c r="I15" i="4"/>
  <c r="I12" i="4"/>
  <c r="I17" i="4"/>
  <c r="I14" i="4"/>
  <c r="I16" i="4"/>
  <c r="I13" i="4"/>
  <c r="L17" i="4"/>
  <c r="K12" i="3"/>
  <c r="L16" i="3"/>
  <c r="L18" i="4"/>
  <c r="L14" i="3"/>
  <c r="H12" i="4"/>
  <c r="K12" i="4" s="1"/>
  <c r="L16" i="4"/>
  <c r="L17" i="3"/>
  <c r="L14" i="4"/>
  <c r="I18" i="6" l="1"/>
  <c r="C23" i="6"/>
  <c r="D22" i="6"/>
  <c r="N13" i="2"/>
  <c r="L12" i="1"/>
  <c r="L14" i="1"/>
  <c r="F13" i="1"/>
  <c r="H13" i="1" s="1"/>
  <c r="M12" i="1"/>
  <c r="M13" i="2"/>
  <c r="N14" i="2"/>
  <c r="L15" i="4"/>
  <c r="L18" i="3"/>
  <c r="L15" i="1"/>
  <c r="L13" i="3"/>
  <c r="L13" i="4"/>
  <c r="L18" i="1"/>
  <c r="L16" i="1"/>
  <c r="L15" i="3"/>
  <c r="L17" i="1"/>
  <c r="G12" i="4"/>
  <c r="L12" i="4"/>
  <c r="G12" i="3"/>
  <c r="D23" i="6" l="1"/>
  <c r="C24" i="6"/>
  <c r="D24" i="6" s="1"/>
  <c r="M18" i="6"/>
  <c r="H18" i="6"/>
  <c r="N12" i="1"/>
  <c r="K13" i="1"/>
  <c r="G13" i="1"/>
  <c r="F14" i="1" s="1"/>
  <c r="M13" i="1"/>
  <c r="J12" i="3"/>
  <c r="F13" i="3"/>
  <c r="M12" i="3"/>
  <c r="J12" i="4"/>
  <c r="F13" i="4"/>
  <c r="M12" i="4"/>
  <c r="L18" i="6" l="1"/>
  <c r="P18" i="6" s="1"/>
  <c r="O18" i="6"/>
  <c r="G19" i="6"/>
  <c r="J19" i="6" s="1"/>
  <c r="O13" i="2"/>
  <c r="J13" i="1"/>
  <c r="N13" i="1" s="1"/>
  <c r="G14" i="2"/>
  <c r="I14" i="2" s="1"/>
  <c r="L13" i="2"/>
  <c r="H13" i="3"/>
  <c r="N12" i="3"/>
  <c r="H13" i="4"/>
  <c r="N12" i="4"/>
  <c r="H14" i="1"/>
  <c r="G14" i="1" s="1"/>
  <c r="I19" i="6" l="1"/>
  <c r="P13" i="2"/>
  <c r="J14" i="2"/>
  <c r="H14" i="2" s="1"/>
  <c r="K14" i="1"/>
  <c r="K13" i="4"/>
  <c r="G13" i="4"/>
  <c r="K13" i="3"/>
  <c r="G13" i="3"/>
  <c r="M19" i="6" l="1"/>
  <c r="H19" i="6"/>
  <c r="M14" i="2"/>
  <c r="J13" i="3"/>
  <c r="M13" i="3"/>
  <c r="F14" i="3"/>
  <c r="J14" i="1"/>
  <c r="M14" i="1"/>
  <c r="F15" i="1"/>
  <c r="J13" i="4"/>
  <c r="M13" i="4"/>
  <c r="F14" i="4"/>
  <c r="L14" i="2"/>
  <c r="O14" i="2"/>
  <c r="G15" i="2"/>
  <c r="I15" i="2" s="1"/>
  <c r="L19" i="6" l="1"/>
  <c r="P19" i="6" s="1"/>
  <c r="O19" i="6"/>
  <c r="G20" i="6"/>
  <c r="J20" i="6" s="1"/>
  <c r="J15" i="2"/>
  <c r="H15" i="2" s="1"/>
  <c r="N15" i="2"/>
  <c r="N14" i="1"/>
  <c r="H14" i="3"/>
  <c r="N13" i="4"/>
  <c r="H15" i="1"/>
  <c r="P14" i="2"/>
  <c r="H14" i="4"/>
  <c r="N13" i="3"/>
  <c r="I20" i="6" l="1"/>
  <c r="K14" i="3"/>
  <c r="G14" i="3"/>
  <c r="K15" i="1"/>
  <c r="G15" i="1"/>
  <c r="M15" i="2"/>
  <c r="K14" i="4"/>
  <c r="G14" i="4"/>
  <c r="M20" i="6" l="1"/>
  <c r="H20" i="6"/>
  <c r="J14" i="4"/>
  <c r="M14" i="4"/>
  <c r="F15" i="4"/>
  <c r="L15" i="2"/>
  <c r="O15" i="2"/>
  <c r="G16" i="2"/>
  <c r="I16" i="2" s="1"/>
  <c r="J15" i="1"/>
  <c r="M15" i="1"/>
  <c r="F16" i="1"/>
  <c r="J14" i="3"/>
  <c r="M14" i="3"/>
  <c r="F15" i="3"/>
  <c r="L20" i="6" l="1"/>
  <c r="P20" i="6" s="1"/>
  <c r="O20" i="6"/>
  <c r="G21" i="6"/>
  <c r="J21" i="6" s="1"/>
  <c r="J16" i="2"/>
  <c r="H16" i="2" s="1"/>
  <c r="N16" i="2"/>
  <c r="P15" i="2"/>
  <c r="H15" i="4"/>
  <c r="H15" i="3"/>
  <c r="N14" i="3"/>
  <c r="N15" i="1"/>
  <c r="H16" i="1"/>
  <c r="N14" i="4"/>
  <c r="I21" i="6" l="1"/>
  <c r="K15" i="4"/>
  <c r="G15" i="4"/>
  <c r="K15" i="3"/>
  <c r="G15" i="3"/>
  <c r="M16" i="2"/>
  <c r="K16" i="1"/>
  <c r="G16" i="1"/>
  <c r="M21" i="6" l="1"/>
  <c r="H21" i="6"/>
  <c r="L16" i="2"/>
  <c r="O16" i="2"/>
  <c r="G17" i="2"/>
  <c r="I17" i="2" s="1"/>
  <c r="J15" i="4"/>
  <c r="M15" i="4"/>
  <c r="F16" i="4"/>
  <c r="J16" i="1"/>
  <c r="M16" i="1"/>
  <c r="F17" i="1"/>
  <c r="J15" i="3"/>
  <c r="M15" i="3"/>
  <c r="F16" i="3"/>
  <c r="O21" i="6" l="1"/>
  <c r="L21" i="6"/>
  <c r="P21" i="6" s="1"/>
  <c r="G22" i="6"/>
  <c r="J22" i="6" s="1"/>
  <c r="J17" i="2"/>
  <c r="H17" i="2" s="1"/>
  <c r="N17" i="2"/>
  <c r="N15" i="4"/>
  <c r="H16" i="4"/>
  <c r="N16" i="1"/>
  <c r="H16" i="3"/>
  <c r="N15" i="3"/>
  <c r="H17" i="1"/>
  <c r="P16" i="2"/>
  <c r="I22" i="6" l="1"/>
  <c r="M17" i="2"/>
  <c r="K16" i="4"/>
  <c r="G16" i="4"/>
  <c r="K16" i="3"/>
  <c r="G16" i="3"/>
  <c r="K17" i="1"/>
  <c r="G17" i="1"/>
  <c r="M22" i="6" l="1"/>
  <c r="H22" i="6"/>
  <c r="J16" i="3"/>
  <c r="M16" i="3"/>
  <c r="F17" i="3"/>
  <c r="J17" i="1"/>
  <c r="M17" i="1"/>
  <c r="F18" i="1"/>
  <c r="J16" i="4"/>
  <c r="M16" i="4"/>
  <c r="F17" i="4"/>
  <c r="L17" i="2"/>
  <c r="O17" i="2"/>
  <c r="G18" i="2"/>
  <c r="I18" i="2" s="1"/>
  <c r="L22" i="6" l="1"/>
  <c r="P22" i="6" s="1"/>
  <c r="O22" i="6"/>
  <c r="G23" i="6"/>
  <c r="J23" i="6" s="1"/>
  <c r="J18" i="2"/>
  <c r="H18" i="2" s="1"/>
  <c r="N18" i="2"/>
  <c r="N17" i="1"/>
  <c r="H18" i="1"/>
  <c r="H17" i="3"/>
  <c r="N16" i="4"/>
  <c r="P17" i="2"/>
  <c r="H17" i="4"/>
  <c r="N16" i="3"/>
  <c r="I23" i="6" l="1"/>
  <c r="K17" i="3"/>
  <c r="G17" i="3"/>
  <c r="K17" i="4"/>
  <c r="G17" i="4"/>
  <c r="K18" i="1"/>
  <c r="G18" i="1"/>
  <c r="M18" i="2"/>
  <c r="M23" i="6" l="1"/>
  <c r="H23" i="6"/>
  <c r="J17" i="4"/>
  <c r="M17" i="4"/>
  <c r="F18" i="4"/>
  <c r="L18" i="2"/>
  <c r="O18" i="2"/>
  <c r="G19" i="2"/>
  <c r="I19" i="2" s="1"/>
  <c r="J17" i="3"/>
  <c r="M17" i="3"/>
  <c r="F18" i="3"/>
  <c r="J18" i="1"/>
  <c r="M18" i="1"/>
  <c r="F19" i="1"/>
  <c r="L23" i="6" l="1"/>
  <c r="P23" i="6" s="1"/>
  <c r="O23" i="6"/>
  <c r="G24" i="6"/>
  <c r="J24" i="6" s="1"/>
  <c r="J19" i="2"/>
  <c r="H19" i="2" s="1"/>
  <c r="N19" i="2"/>
  <c r="P18" i="2"/>
  <c r="H19" i="1"/>
  <c r="K19" i="1" s="1"/>
  <c r="H18" i="4"/>
  <c r="N18" i="1"/>
  <c r="N17" i="3"/>
  <c r="H18" i="3"/>
  <c r="N17" i="4"/>
  <c r="I24" i="6" l="1"/>
  <c r="K18" i="4"/>
  <c r="G18" i="4"/>
  <c r="M19" i="2"/>
  <c r="I19" i="1"/>
  <c r="K18" i="3"/>
  <c r="G18" i="3"/>
  <c r="M24" i="6" l="1"/>
  <c r="K24" i="6"/>
  <c r="J18" i="3"/>
  <c r="M18" i="3"/>
  <c r="F19" i="3"/>
  <c r="L19" i="2"/>
  <c r="O19" i="2"/>
  <c r="G20" i="2"/>
  <c r="I20" i="2" s="1"/>
  <c r="J18" i="4"/>
  <c r="M18" i="4"/>
  <c r="F19" i="4"/>
  <c r="G19" i="1"/>
  <c r="L19" i="1"/>
  <c r="H24" i="6" l="1"/>
  <c r="N24" i="6"/>
  <c r="J20" i="2"/>
  <c r="K20" i="2" s="1"/>
  <c r="P19" i="2"/>
  <c r="H19" i="3"/>
  <c r="K19" i="3" s="1"/>
  <c r="N18" i="4"/>
  <c r="J19" i="1"/>
  <c r="M19" i="1"/>
  <c r="H19" i="4"/>
  <c r="K19" i="4" s="1"/>
  <c r="N18" i="3"/>
  <c r="L24" i="6" l="1"/>
  <c r="P24" i="6" s="1"/>
  <c r="O24" i="6"/>
  <c r="N20" i="2"/>
  <c r="H20" i="2"/>
  <c r="M20" i="2"/>
  <c r="I19" i="3"/>
  <c r="N19" i="1"/>
  <c r="I19" i="4"/>
  <c r="G19" i="3" l="1"/>
  <c r="L19" i="3"/>
  <c r="G19" i="4"/>
  <c r="L19" i="4"/>
  <c r="J19" i="4" l="1"/>
  <c r="M19" i="4"/>
  <c r="L20" i="2"/>
  <c r="O20" i="2"/>
  <c r="J19" i="3"/>
  <c r="M19" i="3"/>
  <c r="N19" i="3" l="1"/>
  <c r="P20" i="2"/>
  <c r="N19" i="4"/>
</calcChain>
</file>

<file path=xl/sharedStrings.xml><?xml version="1.0" encoding="utf-8"?>
<sst xmlns="http://schemas.openxmlformats.org/spreadsheetml/2006/main" count="133" uniqueCount="47">
  <si>
    <t>CALCULO DE INTERES - TASA SEMILLEROS</t>
  </si>
  <si>
    <t>Ingresar Datos:</t>
  </si>
  <si>
    <t>Tasa</t>
  </si>
  <si>
    <t>Monto Desembolso</t>
  </si>
  <si>
    <t>Tasa Catorcenal</t>
  </si>
  <si>
    <t>Fecha Desembolso</t>
  </si>
  <si>
    <t>Tasa Moratoria</t>
  </si>
  <si>
    <t>Cuota</t>
  </si>
  <si>
    <t>CRONOGRAMA ORIGINAL</t>
  </si>
  <si>
    <t>CRONOGRAMA ACTUAL</t>
  </si>
  <si>
    <t>Saldo Capital</t>
  </si>
  <si>
    <t>Capital</t>
  </si>
  <si>
    <t>Interes</t>
  </si>
  <si>
    <t>Monto Cuota</t>
  </si>
  <si>
    <t>INTERES COMPENSATORIO</t>
  </si>
  <si>
    <t>Interes Moratorio</t>
  </si>
  <si>
    <t>Nuevo monto de Cuota</t>
  </si>
  <si>
    <t>CUOTA</t>
  </si>
  <si>
    <t>Fecha Vencimiento</t>
  </si>
  <si>
    <t>Fecha de Pago</t>
  </si>
  <si>
    <t>Dias de Atraso</t>
  </si>
  <si>
    <t>Interes Pactado</t>
  </si>
  <si>
    <t>Interes Adicional a la Fecha de Pago</t>
  </si>
  <si>
    <t>CALCULO DE INTERES - TASA QULQUI</t>
  </si>
  <si>
    <t>CALCULO DE INTERES - TASA KORI</t>
  </si>
  <si>
    <t>MONTO DES</t>
  </si>
  <si>
    <t>TASA</t>
  </si>
  <si>
    <t>FECHA DES</t>
  </si>
  <si>
    <t>FECHA ABONO</t>
  </si>
  <si>
    <t>DIF. DIAS</t>
  </si>
  <si>
    <t>INTERES DIARIO</t>
  </si>
  <si>
    <t>INTERES A DESCONTAR</t>
  </si>
  <si>
    <t>CALCULO DE INTERES - TASA EMPRESARIAL</t>
  </si>
  <si>
    <t>DIAS</t>
  </si>
  <si>
    <t>TEA</t>
  </si>
  <si>
    <t>SEG. DES</t>
  </si>
  <si>
    <r>
      <t xml:space="preserve">Capital
</t>
    </r>
    <r>
      <rPr>
        <b/>
        <i/>
        <sz val="11"/>
        <rFont val="Aptos Narrow"/>
        <family val="2"/>
      </rPr>
      <t>(C-i-SD)</t>
    </r>
  </si>
  <si>
    <r>
      <t xml:space="preserve">Interes </t>
    </r>
    <r>
      <rPr>
        <b/>
        <i/>
        <sz val="11"/>
        <rFont val="Aptos Narrow"/>
        <family val="2"/>
      </rPr>
      <t>(i)</t>
    </r>
  </si>
  <si>
    <r>
      <t xml:space="preserve">Seguro de Desgravamen </t>
    </r>
    <r>
      <rPr>
        <b/>
        <i/>
        <sz val="11"/>
        <rFont val="Aptos Narrow"/>
        <family val="2"/>
      </rPr>
      <t>(SD)</t>
    </r>
  </si>
  <si>
    <r>
      <t xml:space="preserve">Cuota </t>
    </r>
    <r>
      <rPr>
        <b/>
        <i/>
        <sz val="11"/>
        <rFont val="Aptos Narrow"/>
        <family val="2"/>
      </rPr>
      <t>( C )</t>
    </r>
  </si>
  <si>
    <r>
      <t xml:space="preserve">Capital
</t>
    </r>
    <r>
      <rPr>
        <b/>
        <i/>
        <sz val="11"/>
        <color theme="0"/>
        <rFont val="Montserrat"/>
      </rPr>
      <t>(C-i-SD)</t>
    </r>
  </si>
  <si>
    <r>
      <t xml:space="preserve">Interes </t>
    </r>
    <r>
      <rPr>
        <b/>
        <i/>
        <sz val="11"/>
        <color theme="0"/>
        <rFont val="Montserrat"/>
      </rPr>
      <t>(i)</t>
    </r>
  </si>
  <si>
    <r>
      <t xml:space="preserve">Seguro de Desgravamen </t>
    </r>
    <r>
      <rPr>
        <b/>
        <i/>
        <sz val="11"/>
        <color theme="0"/>
        <rFont val="Montserrat"/>
      </rPr>
      <t>(SD)</t>
    </r>
  </si>
  <si>
    <r>
      <t xml:space="preserve">Cuota </t>
    </r>
    <r>
      <rPr>
        <b/>
        <i/>
        <sz val="11"/>
        <color theme="0"/>
        <rFont val="Montserrat"/>
      </rPr>
      <t>(C)</t>
    </r>
  </si>
  <si>
    <t>D</t>
  </si>
  <si>
    <t>-</t>
  </si>
  <si>
    <t>SIMULADOR - SUMAQ WARMI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</si>
</sst>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S/&quot;\ #,##0.00;[Red]\-&quot;S/&quot;\ #,##0.00"/>
    <numFmt numFmtId="44" formatCode="_-&quot;S/&quot;\ * #,##0.00_-;\-&quot;S/&quot;\ * #,##0.00_-;_-&quot;S/&quot;\ * &quot;-&quot;??_-;_-@_-"/>
    <numFmt numFmtId="164" formatCode="_-[$S/-280A]\ * #,##0.00_-;\-[$S/-280A]\ * #,##0.00_-;_-[$S/-280A]\ * &quot;-&quot;??_-;_-@"/>
    <numFmt numFmtId="165" formatCode="_-[$S/-280A]\ * #,##0.00_-;\-[$S/-280A]\ * #,##0.00_-;_-[$S/-280A]\ * &quot;-&quot;??_-;_-@_-"/>
    <numFmt numFmtId="166" formatCode="0.000%"/>
  </numFmts>
  <fonts count="19">
    <font>
      <sz val="11"/>
      <name val="Aptos Narrow"/>
      <scheme val="minor"/>
    </font>
    <font>
      <b/>
      <sz val="18"/>
      <name val="Aptos Narrow"/>
    </font>
    <font>
      <sz val="11"/>
      <name val="Aptos Narrow"/>
    </font>
    <font>
      <sz val="11"/>
      <name val="Aptos Narrow"/>
    </font>
    <font>
      <b/>
      <sz val="11"/>
      <name val="Aptos Narrow"/>
    </font>
    <font>
      <b/>
      <sz val="11"/>
      <name val="Aptos Narrow"/>
    </font>
    <font>
      <sz val="11"/>
      <name val="Aptos Narrow"/>
    </font>
    <font>
      <sz val="11"/>
      <name val="Aptos Narrow"/>
      <scheme val="minor"/>
    </font>
    <font>
      <b/>
      <sz val="12"/>
      <color rgb="FF0A0A0A"/>
      <name val="Arial"/>
      <family val="2"/>
    </font>
    <font>
      <b/>
      <sz val="12"/>
      <color rgb="FF001D35"/>
      <name val="Arial"/>
      <family val="2"/>
    </font>
    <font>
      <b/>
      <i/>
      <sz val="1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b/>
      <sz val="18"/>
      <name val="Montserrat"/>
    </font>
    <font>
      <sz val="11"/>
      <name val="Montserrat"/>
    </font>
    <font>
      <b/>
      <sz val="11"/>
      <name val="Montserrat"/>
    </font>
    <font>
      <b/>
      <sz val="11"/>
      <color theme="0"/>
      <name val="Montserrat"/>
    </font>
    <font>
      <b/>
      <i/>
      <sz val="11"/>
      <color theme="0"/>
      <name val="Montserrat"/>
    </font>
    <font>
      <sz val="11"/>
      <color theme="0"/>
      <name val="Montserrat"/>
    </font>
  </fonts>
  <fills count="8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8CB0C"/>
        <bgColor rgb="FFF8CB0C"/>
      </patternFill>
    </fill>
    <fill>
      <patternFill patternType="solid">
        <fgColor rgb="FFFAE2D5"/>
        <bgColor rgb="FFFAE2D5"/>
      </patternFill>
    </fill>
    <fill>
      <patternFill patternType="solid">
        <fgColor rgb="FF60CBF3"/>
        <bgColor rgb="FF60CBF3"/>
      </patternFill>
    </fill>
    <fill>
      <patternFill patternType="solid">
        <fgColor rgb="FF58C2CB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60">
    <xf numFmtId="0" fontId="0" fillId="0" borderId="0" xfId="0"/>
    <xf numFmtId="0" fontId="1" fillId="0" borderId="0" xfId="0" applyFont="1" applyAlignment="1">
      <alignment vertical="center"/>
    </xf>
    <xf numFmtId="0" fontId="3" fillId="0" borderId="7" xfId="0" applyFont="1" applyBorder="1"/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10" fontId="3" fillId="0" borderId="0" xfId="0" applyNumberFormat="1" applyFont="1"/>
    <xf numFmtId="164" fontId="3" fillId="4" borderId="13" xfId="0" applyNumberFormat="1" applyFont="1" applyFill="1" applyBorder="1"/>
    <xf numFmtId="14" fontId="3" fillId="0" borderId="0" xfId="0" applyNumberFormat="1" applyFont="1"/>
    <xf numFmtId="14" fontId="3" fillId="4" borderId="13" xfId="0" applyNumberFormat="1" applyFont="1" applyFill="1" applyBorder="1"/>
    <xf numFmtId="9" fontId="3" fillId="0" borderId="0" xfId="0" applyNumberFormat="1" applyFont="1"/>
    <xf numFmtId="8" fontId="3" fillId="0" borderId="0" xfId="0" applyNumberFormat="1" applyFont="1"/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/>
    </xf>
    <xf numFmtId="164" fontId="6" fillId="0" borderId="28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29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/>
    </xf>
    <xf numFmtId="164" fontId="6" fillId="0" borderId="29" xfId="0" applyNumberFormat="1" applyFont="1" applyBorder="1"/>
    <xf numFmtId="164" fontId="6" fillId="0" borderId="30" xfId="0" applyNumberFormat="1" applyFont="1" applyBorder="1" applyAlignment="1">
      <alignment horizontal="center" vertical="center"/>
    </xf>
    <xf numFmtId="164" fontId="6" fillId="0" borderId="31" xfId="0" applyNumberFormat="1" applyFont="1" applyBorder="1" applyAlignment="1">
      <alignment horizontal="center" vertical="center"/>
    </xf>
    <xf numFmtId="164" fontId="6" fillId="0" borderId="32" xfId="0" applyNumberFormat="1" applyFont="1" applyBorder="1" applyAlignment="1">
      <alignment horizontal="center" vertical="center"/>
    </xf>
    <xf numFmtId="164" fontId="6" fillId="0" borderId="31" xfId="0" applyNumberFormat="1" applyFont="1" applyBorder="1" applyAlignment="1">
      <alignment horizontal="center"/>
    </xf>
    <xf numFmtId="164" fontId="6" fillId="0" borderId="32" xfId="0" applyNumberFormat="1" applyFont="1" applyBorder="1"/>
    <xf numFmtId="10" fontId="0" fillId="0" borderId="0" xfId="0" applyNumberFormat="1"/>
    <xf numFmtId="14" fontId="0" fillId="0" borderId="0" xfId="0" applyNumberFormat="1"/>
    <xf numFmtId="0" fontId="8" fillId="0" borderId="0" xfId="0" applyFont="1"/>
    <xf numFmtId="0" fontId="9" fillId="0" borderId="0" xfId="0" applyFont="1"/>
    <xf numFmtId="44" fontId="0" fillId="0" borderId="0" xfId="1" applyFont="1"/>
    <xf numFmtId="166" fontId="0" fillId="0" borderId="0" xfId="0" applyNumberFormat="1"/>
    <xf numFmtId="0" fontId="1" fillId="0" borderId="10" xfId="0" applyFont="1" applyBorder="1" applyAlignment="1">
      <alignment horizontal="center" vertical="center"/>
    </xf>
    <xf numFmtId="8" fontId="0" fillId="0" borderId="0" xfId="0" applyNumberFormat="1"/>
    <xf numFmtId="1" fontId="1" fillId="0" borderId="10" xfId="0" applyNumberFormat="1" applyFont="1" applyBorder="1" applyAlignment="1">
      <alignment horizontal="center" vertical="center"/>
    </xf>
    <xf numFmtId="1" fontId="2" fillId="0" borderId="10" xfId="0" applyNumberFormat="1" applyFont="1" applyBorder="1"/>
    <xf numFmtId="1" fontId="3" fillId="4" borderId="10" xfId="0" applyNumberFormat="1" applyFont="1" applyFill="1" applyBorder="1"/>
    <xf numFmtId="1" fontId="0" fillId="0" borderId="0" xfId="0" applyNumberFormat="1"/>
    <xf numFmtId="1" fontId="4" fillId="0" borderId="13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/>
    </xf>
    <xf numFmtId="165" fontId="0" fillId="0" borderId="0" xfId="0" applyNumberFormat="1"/>
    <xf numFmtId="10" fontId="3" fillId="0" borderId="0" xfId="2" applyNumberFormat="1" applyFont="1"/>
    <xf numFmtId="10" fontId="0" fillId="0" borderId="0" xfId="2" applyNumberFormat="1" applyFont="1"/>
    <xf numFmtId="166" fontId="3" fillId="0" borderId="0" xfId="2" applyNumberFormat="1" applyFont="1"/>
    <xf numFmtId="0" fontId="2" fillId="0" borderId="0" xfId="0" applyFont="1"/>
    <xf numFmtId="10" fontId="1" fillId="0" borderId="7" xfId="0" applyNumberFormat="1" applyFont="1" applyBorder="1" applyAlignment="1">
      <alignment horizontal="center" vertical="center"/>
    </xf>
    <xf numFmtId="10" fontId="4" fillId="0" borderId="13" xfId="0" applyNumberFormat="1" applyFont="1" applyBorder="1" applyAlignment="1">
      <alignment horizontal="center" vertical="center" wrapText="1"/>
    </xf>
    <xf numFmtId="10" fontId="6" fillId="0" borderId="13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right"/>
    </xf>
    <xf numFmtId="164" fontId="12" fillId="0" borderId="28" xfId="0" applyNumberFormat="1" applyFont="1" applyBorder="1" applyAlignment="1">
      <alignment horizontal="center" vertical="center"/>
    </xf>
    <xf numFmtId="164" fontId="12" fillId="0" borderId="13" xfId="0" applyNumberFormat="1" applyFont="1" applyBorder="1" applyAlignment="1">
      <alignment horizontal="center" vertical="center"/>
    </xf>
    <xf numFmtId="164" fontId="12" fillId="0" borderId="27" xfId="0" applyNumberFormat="1" applyFont="1" applyBorder="1" applyAlignment="1">
      <alignment horizontal="center" vertical="center"/>
    </xf>
    <xf numFmtId="164" fontId="12" fillId="0" borderId="29" xfId="0" applyNumberFormat="1" applyFont="1" applyBorder="1" applyAlignment="1">
      <alignment horizontal="center" vertical="center"/>
    </xf>
    <xf numFmtId="164" fontId="12" fillId="0" borderId="30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7" xfId="0" applyFont="1" applyBorder="1"/>
    <xf numFmtId="0" fontId="13" fillId="0" borderId="7" xfId="0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0" fontId="13" fillId="0" borderId="7" xfId="0" applyNumberFormat="1" applyFont="1" applyBorder="1" applyAlignment="1">
      <alignment horizontal="center" vertical="center"/>
    </xf>
    <xf numFmtId="10" fontId="14" fillId="0" borderId="0" xfId="0" applyNumberFormat="1" applyFont="1"/>
    <xf numFmtId="0" fontId="1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4" fillId="0" borderId="10" xfId="0" applyNumberFormat="1" applyFont="1" applyBorder="1"/>
    <xf numFmtId="10" fontId="14" fillId="0" borderId="0" xfId="2" applyNumberFormat="1" applyFont="1"/>
    <xf numFmtId="166" fontId="14" fillId="0" borderId="0" xfId="0" applyNumberFormat="1" applyFont="1"/>
    <xf numFmtId="1" fontId="14" fillId="4" borderId="10" xfId="0" applyNumberFormat="1" applyFont="1" applyFill="1" applyBorder="1"/>
    <xf numFmtId="14" fontId="14" fillId="0" borderId="0" xfId="0" applyNumberFormat="1" applyFont="1"/>
    <xf numFmtId="1" fontId="14" fillId="0" borderId="0" xfId="0" applyNumberFormat="1" applyFont="1"/>
    <xf numFmtId="8" fontId="14" fillId="0" borderId="0" xfId="0" applyNumberFormat="1" applyFont="1"/>
    <xf numFmtId="165" fontId="14" fillId="0" borderId="0" xfId="0" applyNumberFormat="1" applyFont="1"/>
    <xf numFmtId="0" fontId="15" fillId="0" borderId="25" xfId="0" applyFont="1" applyBorder="1" applyAlignment="1">
      <alignment horizontal="center" vertical="center" wrapText="1"/>
    </xf>
    <xf numFmtId="164" fontId="14" fillId="0" borderId="13" xfId="0" applyNumberFormat="1" applyFont="1" applyBorder="1" applyAlignment="1">
      <alignment horizontal="center" vertical="center"/>
    </xf>
    <xf numFmtId="164" fontId="14" fillId="0" borderId="13" xfId="0" applyNumberFormat="1" applyFont="1" applyBorder="1" applyAlignment="1">
      <alignment horizontal="center"/>
    </xf>
    <xf numFmtId="164" fontId="14" fillId="0" borderId="29" xfId="0" applyNumberFormat="1" applyFont="1" applyBorder="1"/>
    <xf numFmtId="164" fontId="14" fillId="0" borderId="31" xfId="0" applyNumberFormat="1" applyFont="1" applyBorder="1" applyAlignment="1">
      <alignment horizontal="center"/>
    </xf>
    <xf numFmtId="164" fontId="14" fillId="0" borderId="31" xfId="0" applyNumberFormat="1" applyFont="1" applyBorder="1" applyAlignment="1">
      <alignment horizontal="center" vertical="center"/>
    </xf>
    <xf numFmtId="164" fontId="14" fillId="0" borderId="32" xfId="0" applyNumberFormat="1" applyFont="1" applyBorder="1"/>
    <xf numFmtId="0" fontId="15" fillId="0" borderId="19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164" fontId="14" fillId="0" borderId="12" xfId="0" applyNumberFormat="1" applyFont="1" applyBorder="1" applyAlignment="1">
      <alignment horizontal="center" vertical="center"/>
    </xf>
    <xf numFmtId="164" fontId="14" fillId="0" borderId="35" xfId="0" applyNumberFormat="1" applyFont="1" applyBorder="1" applyAlignment="1">
      <alignment horizontal="center" vertical="center"/>
    </xf>
    <xf numFmtId="0" fontId="16" fillId="6" borderId="33" xfId="0" applyFont="1" applyFill="1" applyBorder="1" applyAlignment="1">
      <alignment horizontal="center" vertical="center" wrapText="1"/>
    </xf>
    <xf numFmtId="1" fontId="14" fillId="0" borderId="33" xfId="0" applyNumberFormat="1" applyFont="1" applyBorder="1"/>
    <xf numFmtId="10" fontId="14" fillId="0" borderId="33" xfId="0" applyNumberFormat="1" applyFont="1" applyBorder="1"/>
    <xf numFmtId="0" fontId="14" fillId="0" borderId="33" xfId="0" applyFont="1" applyBorder="1"/>
    <xf numFmtId="0" fontId="15" fillId="0" borderId="33" xfId="0" applyFont="1" applyBorder="1" applyAlignment="1">
      <alignment horizontal="center" vertical="center"/>
    </xf>
    <xf numFmtId="14" fontId="14" fillId="0" borderId="33" xfId="0" applyNumberFormat="1" applyFont="1" applyBorder="1" applyAlignment="1">
      <alignment horizontal="center" vertical="center"/>
    </xf>
    <xf numFmtId="1" fontId="14" fillId="0" borderId="33" xfId="0" applyNumberFormat="1" applyFont="1" applyBorder="1" applyAlignment="1">
      <alignment horizontal="center" vertical="center"/>
    </xf>
    <xf numFmtId="10" fontId="14" fillId="0" borderId="33" xfId="0" applyNumberFormat="1" applyFont="1" applyBorder="1" applyAlignment="1">
      <alignment horizontal="center" vertical="center"/>
    </xf>
    <xf numFmtId="0" fontId="14" fillId="0" borderId="33" xfId="0" applyFont="1" applyBorder="1" applyAlignment="1">
      <alignment horizontal="center"/>
    </xf>
    <xf numFmtId="164" fontId="14" fillId="0" borderId="33" xfId="0" applyNumberFormat="1" applyFont="1" applyBorder="1" applyAlignment="1">
      <alignment horizontal="center" vertical="center"/>
    </xf>
    <xf numFmtId="164" fontId="14" fillId="0" borderId="33" xfId="0" quotePrefix="1" applyNumberFormat="1" applyFont="1" applyBorder="1" applyAlignment="1">
      <alignment horizontal="center" vertical="center"/>
    </xf>
    <xf numFmtId="0" fontId="14" fillId="0" borderId="10" xfId="0" applyFont="1" applyBorder="1"/>
    <xf numFmtId="164" fontId="14" fillId="0" borderId="0" xfId="0" applyNumberFormat="1" applyFont="1"/>
    <xf numFmtId="0" fontId="14" fillId="0" borderId="0" xfId="0" applyFont="1" applyAlignment="1">
      <alignment horizontal="right"/>
    </xf>
    <xf numFmtId="0" fontId="15" fillId="0" borderId="27" xfId="0" applyFont="1" applyBorder="1" applyAlignment="1">
      <alignment horizontal="center" wrapText="1"/>
    </xf>
    <xf numFmtId="0" fontId="15" fillId="0" borderId="12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2" xfId="0" applyFont="1" applyBorder="1"/>
    <xf numFmtId="0" fontId="14" fillId="0" borderId="10" xfId="0" applyFont="1" applyBorder="1"/>
    <xf numFmtId="0" fontId="14" fillId="0" borderId="3" xfId="0" applyFont="1" applyBorder="1"/>
    <xf numFmtId="0" fontId="14" fillId="0" borderId="4" xfId="0" applyFont="1" applyBorder="1"/>
    <xf numFmtId="0" fontId="14" fillId="0" borderId="5" xfId="0" applyFont="1" applyBorder="1"/>
    <xf numFmtId="0" fontId="14" fillId="0" borderId="6" xfId="0" applyFont="1" applyBorder="1"/>
    <xf numFmtId="0" fontId="14" fillId="3" borderId="8" xfId="0" applyFont="1" applyFill="1" applyBorder="1" applyAlignment="1">
      <alignment horizontal="center"/>
    </xf>
    <xf numFmtId="0" fontId="14" fillId="0" borderId="9" xfId="0" applyFont="1" applyBorder="1"/>
    <xf numFmtId="0" fontId="15" fillId="5" borderId="14" xfId="0" applyFont="1" applyFill="1" applyBorder="1" applyAlignment="1">
      <alignment horizontal="center" wrapText="1"/>
    </xf>
    <xf numFmtId="0" fontId="14" fillId="0" borderId="15" xfId="0" applyFont="1" applyBorder="1"/>
    <xf numFmtId="0" fontId="14" fillId="0" borderId="16" xfId="0" applyFont="1" applyBorder="1"/>
    <xf numFmtId="0" fontId="15" fillId="3" borderId="14" xfId="0" applyFont="1" applyFill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2" fillId="0" borderId="12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3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11" xfId="0" applyFont="1" applyBorder="1" applyAlignment="1">
      <alignment horizontal="center"/>
    </xf>
    <xf numFmtId="0" fontId="4" fillId="5" borderId="14" xfId="0" applyFont="1" applyFill="1" applyBorder="1" applyAlignment="1">
      <alignment horizontal="center" wrapText="1"/>
    </xf>
    <xf numFmtId="0" fontId="2" fillId="0" borderId="15" xfId="0" applyFont="1" applyBorder="1"/>
    <xf numFmtId="0" fontId="2" fillId="0" borderId="16" xfId="0" applyFont="1" applyBorder="1"/>
    <xf numFmtId="0" fontId="4" fillId="3" borderId="14" xfId="0" applyFont="1" applyFill="1" applyBorder="1" applyAlignment="1">
      <alignment horizont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23" xfId="0" applyFont="1" applyBorder="1"/>
    <xf numFmtId="0" fontId="4" fillId="0" borderId="20" xfId="0" applyFont="1" applyBorder="1" applyAlignment="1">
      <alignment horizontal="center" vertical="center" wrapText="1"/>
    </xf>
    <xf numFmtId="0" fontId="2" fillId="0" borderId="26" xfId="0" applyFont="1" applyBorder="1"/>
    <xf numFmtId="0" fontId="4" fillId="0" borderId="17" xfId="0" applyFont="1" applyBorder="1" applyAlignment="1">
      <alignment horizontal="center" vertical="center" wrapText="1"/>
    </xf>
    <xf numFmtId="0" fontId="2" fillId="0" borderId="22" xfId="0" applyFont="1" applyBorder="1"/>
    <xf numFmtId="0" fontId="4" fillId="0" borderId="19" xfId="0" applyFont="1" applyBorder="1" applyAlignment="1">
      <alignment horizontal="center" vertical="center" wrapText="1"/>
    </xf>
    <xf numFmtId="0" fontId="2" fillId="0" borderId="24" xfId="0" applyFont="1" applyBorder="1"/>
    <xf numFmtId="0" fontId="11" fillId="0" borderId="17" xfId="0" applyFont="1" applyBorder="1" applyAlignment="1">
      <alignment horizontal="center" vertical="center" wrapText="1"/>
    </xf>
    <xf numFmtId="0" fontId="12" fillId="0" borderId="22" xfId="0" applyFont="1" applyBorder="1"/>
    <xf numFmtId="0" fontId="11" fillId="0" borderId="18" xfId="0" applyFont="1" applyBorder="1" applyAlignment="1">
      <alignment horizontal="center" vertical="center" wrapText="1"/>
    </xf>
    <xf numFmtId="0" fontId="12" fillId="0" borderId="23" xfId="0" applyFont="1" applyBorder="1"/>
    <xf numFmtId="0" fontId="11" fillId="0" borderId="2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24" xfId="0" applyFont="1" applyBorder="1"/>
    <xf numFmtId="0" fontId="4" fillId="0" borderId="11" xfId="0" applyFont="1" applyBorder="1" applyAlignment="1">
      <alignment horizontal="center"/>
    </xf>
    <xf numFmtId="10" fontId="14" fillId="0" borderId="0" xfId="2" applyNumberFormat="1" applyFont="1" applyFill="1"/>
    <xf numFmtId="166" fontId="14" fillId="0" borderId="0" xfId="2" applyNumberFormat="1" applyFont="1" applyFill="1"/>
    <xf numFmtId="0" fontId="15" fillId="3" borderId="10" xfId="0" applyFont="1" applyFill="1" applyBorder="1" applyAlignment="1">
      <alignment horizontal="center" wrapText="1"/>
    </xf>
    <xf numFmtId="0" fontId="14" fillId="0" borderId="33" xfId="0" applyFont="1" applyBorder="1" applyAlignment="1">
      <alignment horizontal="center"/>
    </xf>
    <xf numFmtId="164" fontId="14" fillId="4" borderId="33" xfId="0" applyNumberFormat="1" applyFont="1" applyFill="1" applyBorder="1"/>
    <xf numFmtId="14" fontId="14" fillId="4" borderId="33" xfId="0" applyNumberFormat="1" applyFont="1" applyFill="1" applyBorder="1"/>
    <xf numFmtId="10" fontId="14" fillId="0" borderId="33" xfId="0" applyNumberFormat="1" applyFont="1" applyBorder="1" applyAlignment="1">
      <alignment horizontal="center"/>
    </xf>
    <xf numFmtId="0" fontId="18" fillId="0" borderId="0" xfId="0" applyFont="1"/>
    <xf numFmtId="10" fontId="18" fillId="0" borderId="0" xfId="0" applyNumberFormat="1" applyFont="1"/>
    <xf numFmtId="10" fontId="14" fillId="7" borderId="33" xfId="0" applyNumberFormat="1" applyFont="1" applyFill="1" applyBorder="1"/>
    <xf numFmtId="9" fontId="14" fillId="7" borderId="33" xfId="0" applyNumberFormat="1" applyFont="1" applyFill="1" applyBorder="1"/>
    <xf numFmtId="10" fontId="14" fillId="7" borderId="33" xfId="2" applyNumberFormat="1" applyFont="1" applyFill="1" applyBorder="1"/>
  </cellXfs>
  <cellStyles count="3">
    <cellStyle name="Moneda" xfId="1" builtinId="4"/>
    <cellStyle name="Normal" xfId="0" builtinId="0"/>
    <cellStyle name="Porcentaje" xfId="2" builtinId="5"/>
  </cellStyles>
  <dxfs count="10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colors>
    <mruColors>
      <color rgb="FF58C2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"/>
  <sheetViews>
    <sheetView showGridLines="0" workbookViewId="0">
      <selection activeCell="G4" sqref="G4"/>
    </sheetView>
  </sheetViews>
  <sheetFormatPr baseColWidth="10" defaultColWidth="14.453125" defaultRowHeight="15" customHeight="1"/>
  <cols>
    <col min="1" max="1" width="10.7265625" customWidth="1"/>
    <col min="2" max="2" width="7.26953125" customWidth="1"/>
    <col min="3" max="4" width="13" customWidth="1"/>
    <col min="5" max="5" width="7.7265625" customWidth="1"/>
    <col min="6" max="6" width="15.453125" customWidth="1"/>
    <col min="7" max="9" width="12.81640625" customWidth="1"/>
    <col min="10" max="10" width="11.7265625" customWidth="1"/>
    <col min="11" max="11" width="15.1796875" customWidth="1"/>
    <col min="12" max="12" width="17.81640625" customWidth="1"/>
    <col min="13" max="13" width="13.1796875" customWidth="1"/>
    <col min="14" max="14" width="14.453125" customWidth="1"/>
    <col min="15" max="15" width="11.7265625" customWidth="1"/>
    <col min="16" max="16" width="10.7265625" customWidth="1"/>
    <col min="17" max="17" width="13.453125" customWidth="1"/>
    <col min="18" max="19" width="10.7265625" customWidth="1"/>
  </cols>
  <sheetData>
    <row r="1" spans="1:19" ht="15" customHeight="1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9"/>
      <c r="P1" s="1"/>
      <c r="Q1" s="1"/>
      <c r="R1" s="1"/>
      <c r="S1" s="1"/>
    </row>
    <row r="2" spans="1:19" ht="15" customHeight="1">
      <c r="A2" s="120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2"/>
      <c r="P2" s="1"/>
      <c r="Q2" s="1"/>
      <c r="R2" s="1"/>
      <c r="S2" s="1"/>
    </row>
    <row r="3" spans="1:19" ht="11.2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4"/>
      <c r="R3" s="4"/>
      <c r="S3" s="4"/>
    </row>
    <row r="4" spans="1:19" ht="15.75" customHeight="1">
      <c r="A4" s="123" t="s">
        <v>1</v>
      </c>
      <c r="B4" s="124"/>
      <c r="C4" s="125"/>
      <c r="D4" s="5"/>
      <c r="E4" s="5"/>
      <c r="F4" s="5" t="s">
        <v>2</v>
      </c>
      <c r="G4" s="6">
        <v>8.8900000000000007E-2</v>
      </c>
    </row>
    <row r="5" spans="1:19" ht="14.5">
      <c r="A5" s="126" t="s">
        <v>3</v>
      </c>
      <c r="B5" s="116"/>
      <c r="C5" s="7">
        <v>1500</v>
      </c>
      <c r="D5" s="8"/>
      <c r="E5" s="8"/>
      <c r="F5" s="5" t="s">
        <v>4</v>
      </c>
      <c r="G5" s="6">
        <f>((1+G4)^(14/30)-1)</f>
        <v>4.0545476657812163E-2</v>
      </c>
    </row>
    <row r="6" spans="1:19" ht="14.5">
      <c r="A6" s="126" t="s">
        <v>5</v>
      </c>
      <c r="B6" s="116"/>
      <c r="C6" s="9">
        <v>45208</v>
      </c>
      <c r="D6" s="8"/>
      <c r="E6" s="8"/>
      <c r="F6" s="5" t="s">
        <v>6</v>
      </c>
      <c r="G6" s="10">
        <v>0.15</v>
      </c>
    </row>
    <row r="7" spans="1:19" ht="14.5" hidden="1">
      <c r="F7" s="5" t="s">
        <v>7</v>
      </c>
      <c r="G7" s="11">
        <f>PMT(G5,8,C5,,0)</f>
        <v>-223.29384127900707</v>
      </c>
    </row>
    <row r="8" spans="1:19" ht="14.5">
      <c r="F8" s="5"/>
    </row>
    <row r="9" spans="1:19" ht="15" customHeight="1">
      <c r="F9" s="127" t="s">
        <v>8</v>
      </c>
      <c r="G9" s="128"/>
      <c r="H9" s="128"/>
      <c r="I9" s="129"/>
      <c r="J9" s="130" t="s">
        <v>9</v>
      </c>
      <c r="K9" s="128"/>
      <c r="L9" s="128"/>
      <c r="M9" s="128"/>
      <c r="N9" s="129"/>
    </row>
    <row r="10" spans="1:19" ht="15" customHeight="1">
      <c r="F10" s="135" t="s">
        <v>10</v>
      </c>
      <c r="G10" s="131" t="s">
        <v>11</v>
      </c>
      <c r="H10" s="131" t="s">
        <v>12</v>
      </c>
      <c r="I10" s="137" t="s">
        <v>13</v>
      </c>
      <c r="J10" s="135" t="s">
        <v>11</v>
      </c>
      <c r="K10" s="115" t="s">
        <v>14</v>
      </c>
      <c r="L10" s="116"/>
      <c r="M10" s="131" t="s">
        <v>15</v>
      </c>
      <c r="N10" s="133" t="s">
        <v>16</v>
      </c>
    </row>
    <row r="11" spans="1:19" ht="29">
      <c r="B11" s="13" t="s">
        <v>17</v>
      </c>
      <c r="C11" s="14" t="s">
        <v>18</v>
      </c>
      <c r="D11" s="14" t="s">
        <v>19</v>
      </c>
      <c r="E11" s="15" t="s">
        <v>20</v>
      </c>
      <c r="F11" s="136"/>
      <c r="G11" s="132"/>
      <c r="H11" s="132"/>
      <c r="I11" s="138"/>
      <c r="J11" s="136"/>
      <c r="K11" s="12" t="s">
        <v>21</v>
      </c>
      <c r="L11" s="16" t="s">
        <v>22</v>
      </c>
      <c r="M11" s="132"/>
      <c r="N11" s="134"/>
    </row>
    <row r="12" spans="1:19" ht="15" customHeight="1">
      <c r="B12" s="17">
        <v>1</v>
      </c>
      <c r="C12" s="18">
        <f>C6+14</f>
        <v>45222</v>
      </c>
      <c r="D12" s="18"/>
      <c r="E12" s="19">
        <f t="shared" ref="E12:E19" si="0">IF(D12="",0,D12-C12)</f>
        <v>0</v>
      </c>
      <c r="F12" s="20">
        <f>C5</f>
        <v>1500</v>
      </c>
      <c r="G12" s="21">
        <f t="shared" ref="G12:G19" si="1">I12-H12</f>
        <v>163.18</v>
      </c>
      <c r="H12" s="21">
        <f t="shared" ref="H12:H19" si="2">ROUND(((1+$G$4)^(14/30)-1)*F12,2)</f>
        <v>60.82</v>
      </c>
      <c r="I12" s="22">
        <f t="shared" ref="I12:I18" si="3">ROUNDUP($G$7,0)*-1</f>
        <v>224</v>
      </c>
      <c r="J12" s="20">
        <f t="shared" ref="J12:K12" si="4">G12</f>
        <v>163.18</v>
      </c>
      <c r="K12" s="23">
        <f t="shared" si="4"/>
        <v>60.82</v>
      </c>
      <c r="L12" s="21">
        <f t="shared" ref="L12:L19" si="5">IF(E12&lt;0,0,ROUND((((1+$G$4)^(E12/30))-1)*(I12),2))</f>
        <v>0</v>
      </c>
      <c r="M12" s="21">
        <f t="shared" ref="M12:M19" si="6">IF(E12&lt;0,0,ROUND((((1+$G$6)^(E12/360))-1)*G12,2))</f>
        <v>0</v>
      </c>
      <c r="N12" s="24">
        <f t="shared" ref="N12:N19" si="7">SUM(J12:M12)</f>
        <v>224</v>
      </c>
    </row>
    <row r="13" spans="1:19" ht="14.5">
      <c r="B13" s="17">
        <v>2</v>
      </c>
      <c r="C13" s="18">
        <f t="shared" ref="C13:C19" si="8">C12+14</f>
        <v>45236</v>
      </c>
      <c r="D13" s="18"/>
      <c r="E13" s="19">
        <f t="shared" si="0"/>
        <v>0</v>
      </c>
      <c r="F13" s="20">
        <f t="shared" ref="F13:F19" si="9">F12-G12</f>
        <v>1336.82</v>
      </c>
      <c r="G13" s="21">
        <f t="shared" si="1"/>
        <v>169.8</v>
      </c>
      <c r="H13" s="21">
        <f t="shared" si="2"/>
        <v>54.2</v>
      </c>
      <c r="I13" s="22">
        <f t="shared" si="3"/>
        <v>224</v>
      </c>
      <c r="J13" s="20">
        <f t="shared" ref="J13:K13" si="10">G13</f>
        <v>169.8</v>
      </c>
      <c r="K13" s="23">
        <f t="shared" si="10"/>
        <v>54.2</v>
      </c>
      <c r="L13" s="21">
        <f t="shared" si="5"/>
        <v>0</v>
      </c>
      <c r="M13" s="21">
        <f t="shared" si="6"/>
        <v>0</v>
      </c>
      <c r="N13" s="24">
        <f t="shared" si="7"/>
        <v>224</v>
      </c>
    </row>
    <row r="14" spans="1:19" ht="14.5">
      <c r="B14" s="17">
        <v>3</v>
      </c>
      <c r="C14" s="18">
        <f t="shared" si="8"/>
        <v>45250</v>
      </c>
      <c r="D14" s="18"/>
      <c r="E14" s="19">
        <f t="shared" si="0"/>
        <v>0</v>
      </c>
      <c r="F14" s="20">
        <f t="shared" si="9"/>
        <v>1167.02</v>
      </c>
      <c r="G14" s="21">
        <f t="shared" si="1"/>
        <v>176.68</v>
      </c>
      <c r="H14" s="21">
        <f t="shared" si="2"/>
        <v>47.32</v>
      </c>
      <c r="I14" s="22">
        <f t="shared" si="3"/>
        <v>224</v>
      </c>
      <c r="J14" s="20">
        <f t="shared" ref="J14:K14" si="11">G14</f>
        <v>176.68</v>
      </c>
      <c r="K14" s="23">
        <f t="shared" si="11"/>
        <v>47.32</v>
      </c>
      <c r="L14" s="21">
        <f t="shared" si="5"/>
        <v>0</v>
      </c>
      <c r="M14" s="21">
        <f t="shared" si="6"/>
        <v>0</v>
      </c>
      <c r="N14" s="24">
        <f t="shared" si="7"/>
        <v>224</v>
      </c>
    </row>
    <row r="15" spans="1:19" ht="14.5">
      <c r="B15" s="17">
        <v>4</v>
      </c>
      <c r="C15" s="18">
        <f t="shared" si="8"/>
        <v>45264</v>
      </c>
      <c r="D15" s="18"/>
      <c r="E15" s="19">
        <f t="shared" si="0"/>
        <v>0</v>
      </c>
      <c r="F15" s="20">
        <f t="shared" si="9"/>
        <v>990.33999999999992</v>
      </c>
      <c r="G15" s="21">
        <f t="shared" si="1"/>
        <v>183.85</v>
      </c>
      <c r="H15" s="21">
        <f t="shared" si="2"/>
        <v>40.15</v>
      </c>
      <c r="I15" s="22">
        <f t="shared" si="3"/>
        <v>224</v>
      </c>
      <c r="J15" s="20">
        <f t="shared" ref="J15:K15" si="12">G15</f>
        <v>183.85</v>
      </c>
      <c r="K15" s="23">
        <f t="shared" si="12"/>
        <v>40.15</v>
      </c>
      <c r="L15" s="21">
        <f t="shared" si="5"/>
        <v>0</v>
      </c>
      <c r="M15" s="21">
        <f t="shared" si="6"/>
        <v>0</v>
      </c>
      <c r="N15" s="24">
        <f t="shared" si="7"/>
        <v>224</v>
      </c>
    </row>
    <row r="16" spans="1:19" ht="14.5">
      <c r="B16" s="17">
        <v>5</v>
      </c>
      <c r="C16" s="18">
        <f t="shared" si="8"/>
        <v>45278</v>
      </c>
      <c r="D16" s="18"/>
      <c r="E16" s="19">
        <f t="shared" si="0"/>
        <v>0</v>
      </c>
      <c r="F16" s="20">
        <f t="shared" si="9"/>
        <v>806.4899999999999</v>
      </c>
      <c r="G16" s="21">
        <f t="shared" si="1"/>
        <v>191.3</v>
      </c>
      <c r="H16" s="21">
        <f t="shared" si="2"/>
        <v>32.700000000000003</v>
      </c>
      <c r="I16" s="22">
        <f t="shared" si="3"/>
        <v>224</v>
      </c>
      <c r="J16" s="20">
        <f t="shared" ref="J16:K16" si="13">G16</f>
        <v>191.3</v>
      </c>
      <c r="K16" s="23">
        <f t="shared" si="13"/>
        <v>32.700000000000003</v>
      </c>
      <c r="L16" s="21">
        <f t="shared" si="5"/>
        <v>0</v>
      </c>
      <c r="M16" s="21">
        <f t="shared" si="6"/>
        <v>0</v>
      </c>
      <c r="N16" s="24">
        <f t="shared" si="7"/>
        <v>224</v>
      </c>
    </row>
    <row r="17" spans="2:14" ht="14.5">
      <c r="B17" s="17">
        <v>6</v>
      </c>
      <c r="C17" s="18">
        <f t="shared" si="8"/>
        <v>45292</v>
      </c>
      <c r="D17" s="18"/>
      <c r="E17" s="19">
        <f t="shared" si="0"/>
        <v>0</v>
      </c>
      <c r="F17" s="20">
        <f t="shared" si="9"/>
        <v>615.18999999999983</v>
      </c>
      <c r="G17" s="21">
        <f t="shared" si="1"/>
        <v>199.06</v>
      </c>
      <c r="H17" s="21">
        <f t="shared" si="2"/>
        <v>24.94</v>
      </c>
      <c r="I17" s="22">
        <f t="shared" si="3"/>
        <v>224</v>
      </c>
      <c r="J17" s="20">
        <f t="shared" ref="J17:K17" si="14">G17</f>
        <v>199.06</v>
      </c>
      <c r="K17" s="23">
        <f t="shared" si="14"/>
        <v>24.94</v>
      </c>
      <c r="L17" s="21">
        <f t="shared" si="5"/>
        <v>0</v>
      </c>
      <c r="M17" s="21">
        <f t="shared" si="6"/>
        <v>0</v>
      </c>
      <c r="N17" s="24">
        <f t="shared" si="7"/>
        <v>224</v>
      </c>
    </row>
    <row r="18" spans="2:14" ht="14.5">
      <c r="B18" s="17">
        <v>7</v>
      </c>
      <c r="C18" s="18">
        <f t="shared" si="8"/>
        <v>45306</v>
      </c>
      <c r="D18" s="18"/>
      <c r="E18" s="19">
        <f t="shared" si="0"/>
        <v>0</v>
      </c>
      <c r="F18" s="20">
        <f t="shared" si="9"/>
        <v>416.12999999999982</v>
      </c>
      <c r="G18" s="21">
        <f t="shared" si="1"/>
        <v>207.13</v>
      </c>
      <c r="H18" s="21">
        <f t="shared" si="2"/>
        <v>16.87</v>
      </c>
      <c r="I18" s="22">
        <f t="shared" si="3"/>
        <v>224</v>
      </c>
      <c r="J18" s="20">
        <f t="shared" ref="J18:K18" si="15">G18</f>
        <v>207.13</v>
      </c>
      <c r="K18" s="23">
        <f t="shared" si="15"/>
        <v>16.87</v>
      </c>
      <c r="L18" s="21">
        <f t="shared" si="5"/>
        <v>0</v>
      </c>
      <c r="M18" s="21">
        <f t="shared" si="6"/>
        <v>0</v>
      </c>
      <c r="N18" s="24">
        <f t="shared" si="7"/>
        <v>224</v>
      </c>
    </row>
    <row r="19" spans="2:14" ht="14.5">
      <c r="B19" s="17">
        <v>8</v>
      </c>
      <c r="C19" s="18">
        <f t="shared" si="8"/>
        <v>45320</v>
      </c>
      <c r="D19" s="18"/>
      <c r="E19" s="19">
        <f t="shared" si="0"/>
        <v>0</v>
      </c>
      <c r="F19" s="25">
        <f t="shared" si="9"/>
        <v>208.99999999999983</v>
      </c>
      <c r="G19" s="26">
        <f t="shared" si="1"/>
        <v>208.99999999999983</v>
      </c>
      <c r="H19" s="26">
        <f t="shared" si="2"/>
        <v>8.4700000000000006</v>
      </c>
      <c r="I19" s="27">
        <f>F19+H19</f>
        <v>217.46999999999983</v>
      </c>
      <c r="J19" s="25">
        <f t="shared" ref="J19:K19" si="16">G19</f>
        <v>208.99999999999983</v>
      </c>
      <c r="K19" s="28">
        <f t="shared" si="16"/>
        <v>8.4700000000000006</v>
      </c>
      <c r="L19" s="26">
        <f t="shared" si="5"/>
        <v>0</v>
      </c>
      <c r="M19" s="26">
        <f t="shared" si="6"/>
        <v>0</v>
      </c>
      <c r="N19" s="29">
        <f t="shared" si="7"/>
        <v>217.46999999999983</v>
      </c>
    </row>
    <row r="21" spans="2:14" ht="15.75" customHeight="1"/>
    <row r="22" spans="2:14" ht="15.75" customHeight="1"/>
    <row r="23" spans="2:14" ht="15.75" customHeight="1"/>
    <row r="24" spans="2:14" ht="15.75" customHeight="1"/>
    <row r="25" spans="2:14" ht="15.75" customHeight="1"/>
    <row r="26" spans="2:14" ht="15.75" customHeight="1"/>
    <row r="27" spans="2:14" ht="15.75" customHeight="1"/>
    <row r="28" spans="2:14" ht="15.75" customHeight="1"/>
    <row r="29" spans="2:14" ht="15.75" customHeight="1"/>
    <row r="30" spans="2:14" ht="15.75" customHeight="1"/>
    <row r="31" spans="2:14" ht="15.75" customHeight="1"/>
    <row r="32" spans="2:1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4">
    <mergeCell ref="K10:L10"/>
    <mergeCell ref="A1:O2"/>
    <mergeCell ref="A4:C4"/>
    <mergeCell ref="A5:B5"/>
    <mergeCell ref="A6:B6"/>
    <mergeCell ref="F9:I9"/>
    <mergeCell ref="J9:N9"/>
    <mergeCell ref="M10:M11"/>
    <mergeCell ref="N10:N11"/>
    <mergeCell ref="F10:F11"/>
    <mergeCell ref="G10:G11"/>
    <mergeCell ref="H10:H11"/>
    <mergeCell ref="I10:I11"/>
    <mergeCell ref="J10:J11"/>
  </mergeCells>
  <conditionalFormatting sqref="E12:E19">
    <cfRule type="cellIs" dxfId="9" priority="1" operator="greaterThan">
      <formula>0</formula>
    </cfRule>
  </conditionalFormatting>
  <conditionalFormatting sqref="L12:M19">
    <cfRule type="cellIs" dxfId="8" priority="2" operator="greaterThan">
      <formula>0</formula>
    </cfRule>
  </conditionalFormatting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9"/>
  <sheetViews>
    <sheetView showGridLines="0" zoomScaleNormal="100" workbookViewId="0">
      <selection activeCell="E15" sqref="E15"/>
    </sheetView>
  </sheetViews>
  <sheetFormatPr baseColWidth="10" defaultColWidth="14.453125" defaultRowHeight="15" customHeight="1"/>
  <cols>
    <col min="1" max="1" width="10.7265625" customWidth="1"/>
    <col min="2" max="2" width="7.26953125" customWidth="1"/>
    <col min="3" max="3" width="13" customWidth="1"/>
    <col min="4" max="4" width="13" style="41" customWidth="1"/>
    <col min="5" max="5" width="13" style="30" customWidth="1"/>
    <col min="6" max="6" width="7.7265625" customWidth="1"/>
    <col min="7" max="8" width="19.1796875" customWidth="1"/>
    <col min="9" max="11" width="19" customWidth="1"/>
    <col min="12" max="12" width="11.7265625" customWidth="1"/>
    <col min="13" max="13" width="15.1796875" customWidth="1"/>
    <col min="14" max="14" width="17.7265625" customWidth="1"/>
    <col min="15" max="15" width="13.1796875" customWidth="1"/>
    <col min="16" max="16" width="14.453125" customWidth="1"/>
    <col min="17" max="17" width="11.7265625" customWidth="1"/>
    <col min="18" max="18" width="10.7265625" customWidth="1"/>
    <col min="19" max="19" width="13.453125" customWidth="1"/>
    <col min="20" max="21" width="10.7265625" customWidth="1"/>
  </cols>
  <sheetData>
    <row r="1" spans="1:21" ht="15" customHeight="1">
      <c r="A1" s="117" t="s">
        <v>32</v>
      </c>
      <c r="B1" s="118"/>
      <c r="C1" s="118"/>
      <c r="D1" s="125"/>
      <c r="E1" s="118"/>
      <c r="F1" s="118"/>
      <c r="G1" s="118"/>
      <c r="H1" s="118"/>
      <c r="I1" s="118"/>
      <c r="J1" s="125"/>
      <c r="K1" s="118"/>
      <c r="L1" s="118"/>
      <c r="M1" s="118"/>
      <c r="N1" s="118"/>
      <c r="O1" s="118"/>
      <c r="P1" s="118"/>
      <c r="Q1" s="119"/>
      <c r="R1" s="1"/>
      <c r="S1" s="1"/>
      <c r="T1" s="1"/>
      <c r="U1" s="1"/>
    </row>
    <row r="2" spans="1:21" ht="15" customHeight="1">
      <c r="A2" s="120"/>
      <c r="B2" s="121"/>
      <c r="C2" s="121"/>
      <c r="D2" s="125"/>
      <c r="E2" s="121"/>
      <c r="F2" s="121"/>
      <c r="G2" s="121"/>
      <c r="H2" s="121"/>
      <c r="I2" s="121"/>
      <c r="J2" s="125"/>
      <c r="K2" s="121"/>
      <c r="L2" s="121"/>
      <c r="M2" s="121"/>
      <c r="N2" s="121"/>
      <c r="O2" s="121"/>
      <c r="P2" s="121"/>
      <c r="Q2" s="122"/>
      <c r="R2" s="1"/>
      <c r="S2" s="1"/>
      <c r="T2" s="1"/>
      <c r="U2" s="1"/>
    </row>
    <row r="3" spans="1:21" ht="11.25" customHeight="1">
      <c r="A3" s="2"/>
      <c r="B3" s="3"/>
      <c r="C3" s="3"/>
      <c r="D3" s="38"/>
      <c r="E3" s="49"/>
      <c r="F3" s="3"/>
      <c r="G3" s="3"/>
      <c r="H3" s="6"/>
      <c r="I3" s="3"/>
      <c r="J3" s="36"/>
      <c r="K3" s="3"/>
      <c r="L3" s="3"/>
      <c r="M3" s="3"/>
      <c r="N3" s="3"/>
      <c r="O3" s="3"/>
      <c r="P3" s="3"/>
      <c r="Q3" s="3"/>
      <c r="R3" s="4"/>
      <c r="S3" s="4"/>
      <c r="T3" s="4"/>
      <c r="U3" s="4"/>
    </row>
    <row r="4" spans="1:21" ht="15.75" customHeight="1">
      <c r="A4" s="123" t="s">
        <v>1</v>
      </c>
      <c r="B4" s="124"/>
      <c r="C4" s="125"/>
      <c r="D4" s="39"/>
      <c r="E4" s="45"/>
      <c r="F4" s="5"/>
      <c r="G4" s="48" t="s">
        <v>34</v>
      </c>
      <c r="H4" s="6">
        <v>1.1315999999999999</v>
      </c>
      <c r="I4" s="52" t="s">
        <v>35</v>
      </c>
      <c r="J4" s="47">
        <v>5.0000000000000001E-3</v>
      </c>
      <c r="K4" s="35"/>
    </row>
    <row r="5" spans="1:21" ht="14.5">
      <c r="A5" s="126" t="s">
        <v>3</v>
      </c>
      <c r="B5" s="116"/>
      <c r="C5" s="7">
        <v>1000</v>
      </c>
      <c r="D5" s="40"/>
      <c r="F5" s="8"/>
      <c r="G5" s="5" t="s">
        <v>4</v>
      </c>
      <c r="H5" s="6">
        <f>((1+H4)^(14/360))-1</f>
        <v>2.9871405069857859E-2</v>
      </c>
      <c r="I5" s="46"/>
    </row>
    <row r="6" spans="1:21" ht="14.5">
      <c r="A6" s="126" t="s">
        <v>5</v>
      </c>
      <c r="B6" s="116"/>
      <c r="C6" s="9">
        <v>46367</v>
      </c>
      <c r="D6" s="40"/>
      <c r="E6" s="45"/>
      <c r="F6" s="8"/>
      <c r="G6" s="5" t="s">
        <v>6</v>
      </c>
      <c r="H6" s="10">
        <v>0.15</v>
      </c>
    </row>
    <row r="7" spans="1:21" ht="13.5" customHeight="1">
      <c r="G7" s="5" t="s">
        <v>7</v>
      </c>
      <c r="H7" s="37">
        <f>PMT(H5+J4,B20,C5)</f>
        <v>-145.39857985559055</v>
      </c>
      <c r="I7" s="44"/>
    </row>
    <row r="8" spans="1:21" ht="27" hidden="1" customHeight="1" thickBot="1">
      <c r="G8" s="5"/>
      <c r="H8" s="11"/>
      <c r="I8" s="44">
        <f>(C5*(H5+J4))/(1-(1+(H5+J4))^(-8))</f>
        <v>145.39857985559101</v>
      </c>
      <c r="J8" s="44">
        <f>I8+J13</f>
        <v>150.39857985559101</v>
      </c>
    </row>
    <row r="9" spans="1:21" ht="15" hidden="1" customHeight="1">
      <c r="G9" s="127" t="s">
        <v>8</v>
      </c>
      <c r="H9" s="128"/>
      <c r="I9" s="128"/>
      <c r="J9" s="128"/>
      <c r="K9" s="129"/>
      <c r="L9" s="130" t="s">
        <v>9</v>
      </c>
      <c r="M9" s="128"/>
      <c r="N9" s="128"/>
      <c r="O9" s="128"/>
      <c r="P9" s="129"/>
    </row>
    <row r="10" spans="1:21" ht="15.75" customHeight="1"/>
    <row r="11" spans="1:21" ht="15" customHeight="1">
      <c r="G11" s="139" t="s">
        <v>10</v>
      </c>
      <c r="H11" s="141" t="s">
        <v>36</v>
      </c>
      <c r="I11" s="143" t="s">
        <v>37</v>
      </c>
      <c r="J11" s="143" t="s">
        <v>38</v>
      </c>
      <c r="K11" s="145" t="s">
        <v>39</v>
      </c>
      <c r="L11" s="135" t="s">
        <v>11</v>
      </c>
      <c r="M11" s="115" t="s">
        <v>14</v>
      </c>
      <c r="N11" s="116"/>
      <c r="O11" s="131" t="s">
        <v>15</v>
      </c>
      <c r="P11" s="133" t="s">
        <v>16</v>
      </c>
    </row>
    <row r="12" spans="1:21" ht="29">
      <c r="B12" s="13" t="s">
        <v>17</v>
      </c>
      <c r="C12" s="14" t="s">
        <v>18</v>
      </c>
      <c r="D12" s="42" t="s">
        <v>33</v>
      </c>
      <c r="E12" s="50" t="s">
        <v>19</v>
      </c>
      <c r="F12" s="15" t="s">
        <v>20</v>
      </c>
      <c r="G12" s="140"/>
      <c r="H12" s="142"/>
      <c r="I12" s="144"/>
      <c r="J12" s="144"/>
      <c r="K12" s="146"/>
      <c r="L12" s="136"/>
      <c r="M12" s="12" t="s">
        <v>21</v>
      </c>
      <c r="N12" s="16" t="s">
        <v>22</v>
      </c>
      <c r="O12" s="132"/>
      <c r="P12" s="134"/>
    </row>
    <row r="13" spans="1:21" ht="14.5">
      <c r="B13" s="17">
        <v>1</v>
      </c>
      <c r="C13" s="18">
        <f>$C$6+14</f>
        <v>46381</v>
      </c>
      <c r="D13" s="43">
        <f>C13-C6</f>
        <v>14</v>
      </c>
      <c r="E13" s="51"/>
      <c r="F13" s="19">
        <f t="shared" ref="F13:F20" si="0">IF(E13="",0,E13-C13)</f>
        <v>0</v>
      </c>
      <c r="G13" s="53">
        <f>C5</f>
        <v>1000</v>
      </c>
      <c r="H13" s="54">
        <f>K13-I13-J13</f>
        <v>111.12859493014214</v>
      </c>
      <c r="I13" s="54">
        <f>G13*$H$5</f>
        <v>29.871405069857857</v>
      </c>
      <c r="J13" s="55">
        <f t="shared" ref="J13:J20" si="1">IF(G13*$J$4&lt;1,1,G13*$J$4)</f>
        <v>5</v>
      </c>
      <c r="K13" s="56">
        <f>ROUNDUP($H$7,0)*-1</f>
        <v>146</v>
      </c>
      <c r="L13" s="20">
        <f>H13</f>
        <v>111.12859493014214</v>
      </c>
      <c r="M13" s="23">
        <f>I13</f>
        <v>29.871405069857857</v>
      </c>
      <c r="N13" s="21" t="e">
        <f>IF(F13&lt;0,0,ROUND((#REF!)*(K13),2))</f>
        <v>#REF!</v>
      </c>
      <c r="O13" s="21">
        <f>IF(F13&lt;0,0,ROUND(($H$6)*H13,2))</f>
        <v>16.670000000000002</v>
      </c>
      <c r="P13" s="24" t="e">
        <f t="shared" ref="P13:P20" si="2">SUM(L13:O13)</f>
        <v>#REF!</v>
      </c>
    </row>
    <row r="14" spans="1:21" ht="14.5">
      <c r="B14" s="17">
        <v>2</v>
      </c>
      <c r="C14" s="18">
        <f>C13+14</f>
        <v>46395</v>
      </c>
      <c r="D14" s="43">
        <f>C14-C13</f>
        <v>14</v>
      </c>
      <c r="E14" s="51"/>
      <c r="F14" s="19">
        <f t="shared" si="0"/>
        <v>0</v>
      </c>
      <c r="G14" s="53">
        <f t="shared" ref="G14:G20" si="3">G13-H13</f>
        <v>888.87140506985781</v>
      </c>
      <c r="H14" s="54">
        <f t="shared" ref="H14:H20" si="4">K14-I14-J14</f>
        <v>115.00380517879528</v>
      </c>
      <c r="I14" s="54">
        <f t="shared" ref="I14:I20" si="5">G14*$H$5</f>
        <v>26.55183779585543</v>
      </c>
      <c r="J14" s="55">
        <f t="shared" si="1"/>
        <v>4.444357025349289</v>
      </c>
      <c r="K14" s="56">
        <f t="shared" ref="K14:K19" si="6">ROUNDUP($H$7,0)*-1</f>
        <v>146</v>
      </c>
      <c r="L14" s="20">
        <f t="shared" ref="L14:M14" si="7">H14</f>
        <v>115.00380517879528</v>
      </c>
      <c r="M14" s="23">
        <f t="shared" si="7"/>
        <v>26.55183779585543</v>
      </c>
      <c r="N14" s="21" t="e">
        <f>IF(F14&lt;0,0,ROUND((((1+#REF!)^(F14/30))-1)*(K14),2))</f>
        <v>#REF!</v>
      </c>
      <c r="O14" s="21">
        <f t="shared" ref="O14:O20" si="8">IF(F14&lt;0,0,ROUND((((1+$H$6)^(F14/360))-1)*H14,2))</f>
        <v>0</v>
      </c>
      <c r="P14" s="24" t="e">
        <f t="shared" si="2"/>
        <v>#REF!</v>
      </c>
    </row>
    <row r="15" spans="1:21" ht="14.5">
      <c r="B15" s="17">
        <v>3</v>
      </c>
      <c r="C15" s="18">
        <f t="shared" ref="C15:C20" si="9">C14+14</f>
        <v>46409</v>
      </c>
      <c r="D15" s="43">
        <f t="shared" ref="D15:D20" si="10">C15-C14</f>
        <v>14</v>
      </c>
      <c r="E15" s="51"/>
      <c r="F15" s="19">
        <f t="shared" si="0"/>
        <v>0</v>
      </c>
      <c r="G15" s="53">
        <f t="shared" si="3"/>
        <v>773.86759989106258</v>
      </c>
      <c r="H15" s="54">
        <f t="shared" si="4"/>
        <v>119.01414945376007</v>
      </c>
      <c r="I15" s="54">
        <f t="shared" si="5"/>
        <v>23.11651254678462</v>
      </c>
      <c r="J15" s="55">
        <f t="shared" si="1"/>
        <v>3.869337999455313</v>
      </c>
      <c r="K15" s="56">
        <f t="shared" si="6"/>
        <v>146</v>
      </c>
      <c r="L15" s="20">
        <f t="shared" ref="L15:M15" si="11">H15</f>
        <v>119.01414945376007</v>
      </c>
      <c r="M15" s="23">
        <f t="shared" si="11"/>
        <v>23.11651254678462</v>
      </c>
      <c r="N15" s="21" t="e">
        <f>IF(F15&lt;0,0,ROUND((((1+#REF!)^(F15/30))-1)*(K15),2))</f>
        <v>#REF!</v>
      </c>
      <c r="O15" s="21">
        <f t="shared" si="8"/>
        <v>0</v>
      </c>
      <c r="P15" s="24" t="e">
        <f t="shared" si="2"/>
        <v>#REF!</v>
      </c>
    </row>
    <row r="16" spans="1:21" ht="14.5">
      <c r="B16" s="17">
        <v>4</v>
      </c>
      <c r="C16" s="18">
        <f t="shared" si="9"/>
        <v>46423</v>
      </c>
      <c r="D16" s="43">
        <f t="shared" si="10"/>
        <v>14</v>
      </c>
      <c r="E16" s="51"/>
      <c r="F16" s="19">
        <f t="shared" si="0"/>
        <v>0</v>
      </c>
      <c r="G16" s="53">
        <f t="shared" si="3"/>
        <v>654.85345043730251</v>
      </c>
      <c r="H16" s="54">
        <f t="shared" si="4"/>
        <v>123.16434006840673</v>
      </c>
      <c r="I16" s="54">
        <f t="shared" si="5"/>
        <v>19.561392679406751</v>
      </c>
      <c r="J16" s="55">
        <f t="shared" si="1"/>
        <v>3.2742672521865126</v>
      </c>
      <c r="K16" s="56">
        <f t="shared" si="6"/>
        <v>146</v>
      </c>
      <c r="L16" s="20">
        <f t="shared" ref="L16:M16" si="12">H16</f>
        <v>123.16434006840673</v>
      </c>
      <c r="M16" s="23">
        <f t="shared" si="12"/>
        <v>19.561392679406751</v>
      </c>
      <c r="N16" s="21" t="e">
        <f>IF(F16&lt;0,0,ROUND((((1+#REF!)^(F16/30))-1)*(K16),2))</f>
        <v>#REF!</v>
      </c>
      <c r="O16" s="21">
        <f t="shared" si="8"/>
        <v>0</v>
      </c>
      <c r="P16" s="24" t="e">
        <f t="shared" si="2"/>
        <v>#REF!</v>
      </c>
    </row>
    <row r="17" spans="2:16" ht="14.5">
      <c r="B17" s="17">
        <v>5</v>
      </c>
      <c r="C17" s="18">
        <f t="shared" si="9"/>
        <v>46437</v>
      </c>
      <c r="D17" s="43">
        <f t="shared" si="10"/>
        <v>14</v>
      </c>
      <c r="E17" s="51"/>
      <c r="F17" s="19">
        <f t="shared" si="0"/>
        <v>0</v>
      </c>
      <c r="G17" s="53">
        <f t="shared" si="3"/>
        <v>531.68911036889574</v>
      </c>
      <c r="H17" s="54">
        <f t="shared" si="4"/>
        <v>127.45925366109388</v>
      </c>
      <c r="I17" s="54">
        <f t="shared" si="5"/>
        <v>15.882300787061647</v>
      </c>
      <c r="J17" s="55">
        <f t="shared" si="1"/>
        <v>2.6584455518444789</v>
      </c>
      <c r="K17" s="56">
        <f t="shared" si="6"/>
        <v>146</v>
      </c>
      <c r="L17" s="20">
        <f t="shared" ref="L17:M17" si="13">H17</f>
        <v>127.45925366109388</v>
      </c>
      <c r="M17" s="23">
        <f t="shared" si="13"/>
        <v>15.882300787061647</v>
      </c>
      <c r="N17" s="21" t="e">
        <f>IF(F17&lt;0,0,ROUND((((1+#REF!)^(F17/30))-1)*(K17),2))</f>
        <v>#REF!</v>
      </c>
      <c r="O17" s="21">
        <f t="shared" si="8"/>
        <v>0</v>
      </c>
      <c r="P17" s="24" t="e">
        <f t="shared" si="2"/>
        <v>#REF!</v>
      </c>
    </row>
    <row r="18" spans="2:16" ht="14.5">
      <c r="B18" s="17">
        <v>6</v>
      </c>
      <c r="C18" s="18">
        <f t="shared" si="9"/>
        <v>46451</v>
      </c>
      <c r="D18" s="43">
        <f t="shared" si="10"/>
        <v>14</v>
      </c>
      <c r="E18" s="51"/>
      <c r="F18" s="19">
        <f t="shared" si="0"/>
        <v>0</v>
      </c>
      <c r="G18" s="53">
        <f t="shared" si="3"/>
        <v>404.22985670780184</v>
      </c>
      <c r="H18" s="54">
        <f t="shared" si="4"/>
        <v>131.90393692541164</v>
      </c>
      <c r="I18" s="54">
        <f>G18*$H$5</f>
        <v>12.074913791049347</v>
      </c>
      <c r="J18" s="55">
        <f t="shared" si="1"/>
        <v>2.0211492835390095</v>
      </c>
      <c r="K18" s="56">
        <f t="shared" si="6"/>
        <v>146</v>
      </c>
      <c r="L18" s="20">
        <f t="shared" ref="L18:M18" si="14">H18</f>
        <v>131.90393692541164</v>
      </c>
      <c r="M18" s="23">
        <f t="shared" si="14"/>
        <v>12.074913791049347</v>
      </c>
      <c r="N18" s="21" t="e">
        <f>IF(F18&lt;0,0,ROUND((((1+#REF!)^(F18/30))-1)*(K18),2))</f>
        <v>#REF!</v>
      </c>
      <c r="O18" s="21">
        <f t="shared" si="8"/>
        <v>0</v>
      </c>
      <c r="P18" s="24" t="e">
        <f t="shared" si="2"/>
        <v>#REF!</v>
      </c>
    </row>
    <row r="19" spans="2:16" ht="14.5">
      <c r="B19" s="17">
        <v>7</v>
      </c>
      <c r="C19" s="18">
        <f t="shared" si="9"/>
        <v>46465</v>
      </c>
      <c r="D19" s="43">
        <f t="shared" si="10"/>
        <v>14</v>
      </c>
      <c r="E19" s="51"/>
      <c r="F19" s="19">
        <f t="shared" si="0"/>
        <v>0</v>
      </c>
      <c r="G19" s="53">
        <f t="shared" si="3"/>
        <v>272.3259197823902</v>
      </c>
      <c r="H19" s="54">
        <f t="shared" si="4"/>
        <v>136.50361254024665</v>
      </c>
      <c r="I19" s="54">
        <f t="shared" si="5"/>
        <v>8.1347578608413951</v>
      </c>
      <c r="J19" s="55">
        <f t="shared" si="1"/>
        <v>1.3616295989119511</v>
      </c>
      <c r="K19" s="56">
        <f t="shared" si="6"/>
        <v>146</v>
      </c>
      <c r="L19" s="20">
        <f t="shared" ref="L19:M19" si="15">H19</f>
        <v>136.50361254024665</v>
      </c>
      <c r="M19" s="23">
        <f t="shared" si="15"/>
        <v>8.1347578608413951</v>
      </c>
      <c r="N19" s="21" t="e">
        <f>IF(F19&lt;0,0,ROUND((((1+#REF!)^(F19/30))-1)*(K19),2))</f>
        <v>#REF!</v>
      </c>
      <c r="O19" s="21">
        <f t="shared" si="8"/>
        <v>0</v>
      </c>
      <c r="P19" s="24" t="e">
        <f t="shared" si="2"/>
        <v>#REF!</v>
      </c>
    </row>
    <row r="20" spans="2:16" thickBot="1">
      <c r="B20" s="17">
        <v>8</v>
      </c>
      <c r="C20" s="18">
        <f t="shared" si="9"/>
        <v>46479</v>
      </c>
      <c r="D20" s="43">
        <f t="shared" si="10"/>
        <v>14</v>
      </c>
      <c r="E20" s="51"/>
      <c r="F20" s="19">
        <f t="shared" si="0"/>
        <v>0</v>
      </c>
      <c r="G20" s="57">
        <f t="shared" si="3"/>
        <v>135.82230724214355</v>
      </c>
      <c r="H20" s="54">
        <f t="shared" si="4"/>
        <v>135.82230724214355</v>
      </c>
      <c r="I20" s="54">
        <f t="shared" si="5"/>
        <v>4.0572031571527587</v>
      </c>
      <c r="J20" s="55">
        <f t="shared" si="1"/>
        <v>1</v>
      </c>
      <c r="K20" s="56">
        <f>G20+I20+J20</f>
        <v>140.87951039929632</v>
      </c>
      <c r="L20" s="25">
        <f t="shared" ref="L20:M20" si="16">H20</f>
        <v>135.82230724214355</v>
      </c>
      <c r="M20" s="28">
        <f t="shared" si="16"/>
        <v>4.0572031571527587</v>
      </c>
      <c r="N20" s="26" t="e">
        <f>IF(F20&lt;0,0,ROUND((((1+#REF!)^(F20/30))-1)*(K20),2))</f>
        <v>#REF!</v>
      </c>
      <c r="O20" s="26">
        <f t="shared" si="8"/>
        <v>0</v>
      </c>
      <c r="P20" s="29" t="e">
        <f t="shared" si="2"/>
        <v>#REF!</v>
      </c>
    </row>
    <row r="21" spans="2:16" ht="15.75" customHeight="1"/>
    <row r="22" spans="2:16" ht="15.75" customHeight="1"/>
    <row r="23" spans="2:16" ht="15.75" customHeight="1"/>
    <row r="24" spans="2:16" ht="15.75" customHeight="1"/>
    <row r="25" spans="2:16" ht="15.75" customHeight="1"/>
    <row r="26" spans="2:16" ht="15.75" customHeight="1"/>
    <row r="27" spans="2:16" ht="15.75" customHeight="1"/>
    <row r="28" spans="2:16" ht="15.75" customHeight="1"/>
    <row r="29" spans="2:16" ht="15.75" customHeight="1"/>
    <row r="30" spans="2:16" ht="15.75" customHeight="1"/>
    <row r="31" spans="2:16" ht="15.75" customHeight="1"/>
    <row r="32" spans="2:1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</sheetData>
  <mergeCells count="15">
    <mergeCell ref="O11:O12"/>
    <mergeCell ref="P11:P12"/>
    <mergeCell ref="G11:G12"/>
    <mergeCell ref="H11:H12"/>
    <mergeCell ref="I11:I12"/>
    <mergeCell ref="K11:K12"/>
    <mergeCell ref="L11:L12"/>
    <mergeCell ref="M11:N11"/>
    <mergeCell ref="J11:J12"/>
    <mergeCell ref="A1:Q2"/>
    <mergeCell ref="A4:C4"/>
    <mergeCell ref="A5:B5"/>
    <mergeCell ref="A6:B6"/>
    <mergeCell ref="G9:K9"/>
    <mergeCell ref="L9:P9"/>
  </mergeCells>
  <conditionalFormatting sqref="F13:F20">
    <cfRule type="cellIs" dxfId="7" priority="1" operator="greaterThan">
      <formula>0</formula>
    </cfRule>
  </conditionalFormatting>
  <conditionalFormatting sqref="N13:O20">
    <cfRule type="cellIs" dxfId="6" priority="2" operator="greaterThan">
      <formula>0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0"/>
  <sheetViews>
    <sheetView showGridLines="0" topLeftCell="A4" workbookViewId="0">
      <selection activeCell="I18" sqref="I18"/>
    </sheetView>
  </sheetViews>
  <sheetFormatPr baseColWidth="10" defaultColWidth="14.453125" defaultRowHeight="15" customHeight="1"/>
  <cols>
    <col min="1" max="1" width="10.7265625" customWidth="1"/>
    <col min="2" max="2" width="7.26953125" customWidth="1"/>
    <col min="3" max="4" width="13" customWidth="1"/>
    <col min="5" max="5" width="7.7265625" customWidth="1"/>
    <col min="6" max="6" width="15.453125" customWidth="1"/>
    <col min="7" max="9" width="12.81640625" customWidth="1"/>
    <col min="10" max="10" width="11.7265625" customWidth="1"/>
    <col min="11" max="11" width="15.1796875" customWidth="1"/>
    <col min="12" max="12" width="19.81640625" customWidth="1"/>
    <col min="13" max="13" width="13.1796875" customWidth="1"/>
    <col min="14" max="14" width="14.453125" customWidth="1"/>
    <col min="15" max="15" width="11.7265625" customWidth="1"/>
    <col min="16" max="16" width="10.7265625" customWidth="1"/>
    <col min="17" max="17" width="13.453125" customWidth="1"/>
    <col min="18" max="19" width="10.7265625" customWidth="1"/>
  </cols>
  <sheetData>
    <row r="1" spans="1:19" ht="15" customHeight="1">
      <c r="A1" s="117" t="s">
        <v>23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9"/>
      <c r="P1" s="1"/>
      <c r="Q1" s="1"/>
      <c r="R1" s="1"/>
      <c r="S1" s="1"/>
    </row>
    <row r="2" spans="1:19" ht="15" customHeight="1">
      <c r="A2" s="120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2"/>
      <c r="P2" s="1"/>
      <c r="Q2" s="1"/>
      <c r="R2" s="1"/>
      <c r="S2" s="1"/>
    </row>
    <row r="3" spans="1:19" ht="11.2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4"/>
      <c r="R3" s="4"/>
      <c r="S3" s="4"/>
    </row>
    <row r="4" spans="1:19" ht="15.75" customHeight="1">
      <c r="A4" s="123" t="s">
        <v>1</v>
      </c>
      <c r="B4" s="124"/>
      <c r="C4" s="125"/>
      <c r="D4" s="5"/>
      <c r="E4" s="5"/>
      <c r="F4" s="5" t="s">
        <v>2</v>
      </c>
      <c r="G4" s="6">
        <v>7.5899999999999995E-2</v>
      </c>
    </row>
    <row r="5" spans="1:19" ht="14.5">
      <c r="A5" s="126" t="s">
        <v>3</v>
      </c>
      <c r="B5" s="116"/>
      <c r="C5" s="7">
        <v>500</v>
      </c>
      <c r="D5" s="8"/>
      <c r="E5" s="8"/>
      <c r="F5" s="5" t="s">
        <v>4</v>
      </c>
      <c r="G5" s="6">
        <f>((1+G4)^(14/30)-1)</f>
        <v>3.4729641123146804E-2</v>
      </c>
    </row>
    <row r="6" spans="1:19" ht="14.5">
      <c r="A6" s="126" t="s">
        <v>5</v>
      </c>
      <c r="B6" s="116"/>
      <c r="C6" s="9">
        <v>45390</v>
      </c>
      <c r="D6" s="8"/>
      <c r="E6" s="8"/>
      <c r="F6" s="5" t="s">
        <v>6</v>
      </c>
      <c r="G6" s="10">
        <v>0</v>
      </c>
    </row>
    <row r="7" spans="1:19" ht="14.5" hidden="1">
      <c r="F7" s="5" t="s">
        <v>7</v>
      </c>
      <c r="G7" s="11">
        <f>PMT(G5,8,C5,,0)</f>
        <v>-72.656271151582885</v>
      </c>
    </row>
    <row r="8" spans="1:19" ht="11.25" customHeight="1">
      <c r="F8" s="5"/>
      <c r="G8" s="11"/>
    </row>
    <row r="9" spans="1:19" ht="15" customHeight="1">
      <c r="F9" s="127" t="s">
        <v>8</v>
      </c>
      <c r="G9" s="128"/>
      <c r="H9" s="128"/>
      <c r="I9" s="129"/>
      <c r="J9" s="130" t="s">
        <v>9</v>
      </c>
      <c r="K9" s="128"/>
      <c r="L9" s="128"/>
      <c r="M9" s="128"/>
      <c r="N9" s="129"/>
    </row>
    <row r="10" spans="1:19" ht="15" customHeight="1">
      <c r="F10" s="135" t="s">
        <v>10</v>
      </c>
      <c r="G10" s="131" t="s">
        <v>11</v>
      </c>
      <c r="H10" s="131" t="s">
        <v>12</v>
      </c>
      <c r="I10" s="137" t="s">
        <v>13</v>
      </c>
      <c r="J10" s="135" t="s">
        <v>11</v>
      </c>
      <c r="K10" s="115" t="s">
        <v>14</v>
      </c>
      <c r="L10" s="116"/>
      <c r="M10" s="131" t="s">
        <v>15</v>
      </c>
      <c r="N10" s="133" t="s">
        <v>16</v>
      </c>
    </row>
    <row r="11" spans="1:19" ht="29">
      <c r="B11" s="13" t="s">
        <v>17</v>
      </c>
      <c r="C11" s="14" t="s">
        <v>18</v>
      </c>
      <c r="D11" s="14" t="s">
        <v>19</v>
      </c>
      <c r="E11" s="15" t="s">
        <v>20</v>
      </c>
      <c r="F11" s="136"/>
      <c r="G11" s="132"/>
      <c r="H11" s="132"/>
      <c r="I11" s="138"/>
      <c r="J11" s="136"/>
      <c r="K11" s="12" t="s">
        <v>21</v>
      </c>
      <c r="L11" s="16" t="s">
        <v>22</v>
      </c>
      <c r="M11" s="132"/>
      <c r="N11" s="134"/>
    </row>
    <row r="12" spans="1:19" ht="15" customHeight="1">
      <c r="B12" s="17">
        <v>1</v>
      </c>
      <c r="C12" s="18">
        <f>C6+14</f>
        <v>45404</v>
      </c>
      <c r="D12" s="18"/>
      <c r="E12" s="19">
        <f t="shared" ref="E12:E19" si="0">IF(D12="",0,D12-C12)</f>
        <v>0</v>
      </c>
      <c r="F12" s="20">
        <f>C5</f>
        <v>500</v>
      </c>
      <c r="G12" s="21">
        <f t="shared" ref="G12:G19" si="1">I12-H12</f>
        <v>71.78</v>
      </c>
      <c r="H12" s="21">
        <f>ROUND(((1+$G$4)^(1/30)-1)*F12,2)</f>
        <v>1.22</v>
      </c>
      <c r="I12" s="22">
        <f t="shared" ref="I12:I18" si="2">ROUNDUP($G$7,0)*-1</f>
        <v>73</v>
      </c>
      <c r="J12" s="20">
        <f t="shared" ref="J12:K12" si="3">G12</f>
        <v>71.78</v>
      </c>
      <c r="K12" s="23">
        <f t="shared" si="3"/>
        <v>1.22</v>
      </c>
      <c r="L12" s="21">
        <f>IF(E12&lt;0,0,ROUND((((1+$G$4)^(E12/30))-1)*(I12),2))</f>
        <v>0</v>
      </c>
      <c r="M12" s="21">
        <f t="shared" ref="M12:M19" si="4">IF(E12&lt;0,0,ROUND((((1+$G$6)^(E12/360))-1)*G12,2))</f>
        <v>0</v>
      </c>
      <c r="N12" s="24">
        <f t="shared" ref="N12:N19" si="5">SUM(J12:M12)</f>
        <v>73</v>
      </c>
    </row>
    <row r="13" spans="1:19" ht="14.5">
      <c r="B13" s="17">
        <v>2</v>
      </c>
      <c r="C13" s="18">
        <f t="shared" ref="C13:C19" si="6">C12+14</f>
        <v>45418</v>
      </c>
      <c r="D13" s="18"/>
      <c r="E13" s="19">
        <f t="shared" si="0"/>
        <v>0</v>
      </c>
      <c r="F13" s="20">
        <f t="shared" ref="F13:F19" si="7">F12-G12</f>
        <v>428.22</v>
      </c>
      <c r="G13" s="21">
        <f t="shared" si="1"/>
        <v>58.13</v>
      </c>
      <c r="H13" s="21">
        <f t="shared" ref="H13:H19" si="8">ROUND(((1+$G$4)^(14/30)-1)*F13,2)</f>
        <v>14.87</v>
      </c>
      <c r="I13" s="22">
        <f t="shared" si="2"/>
        <v>73</v>
      </c>
      <c r="J13" s="20">
        <f t="shared" ref="J13:K13" si="9">G13</f>
        <v>58.13</v>
      </c>
      <c r="K13" s="23">
        <f t="shared" si="9"/>
        <v>14.87</v>
      </c>
      <c r="L13" s="21">
        <f t="shared" ref="L13:L19" si="10">IF(E13&lt;0,0,ROUND((((1+$G$4)^(E13/30))-1)*(I13),2))</f>
        <v>0</v>
      </c>
      <c r="M13" s="21">
        <f t="shared" si="4"/>
        <v>0</v>
      </c>
      <c r="N13" s="24">
        <f t="shared" si="5"/>
        <v>73</v>
      </c>
    </row>
    <row r="14" spans="1:19" ht="14.5">
      <c r="B14" s="17">
        <v>3</v>
      </c>
      <c r="C14" s="18">
        <f t="shared" si="6"/>
        <v>45432</v>
      </c>
      <c r="D14" s="18"/>
      <c r="E14" s="19">
        <f t="shared" si="0"/>
        <v>0</v>
      </c>
      <c r="F14" s="20">
        <f t="shared" si="7"/>
        <v>370.09000000000003</v>
      </c>
      <c r="G14" s="21">
        <f t="shared" si="1"/>
        <v>60.15</v>
      </c>
      <c r="H14" s="21">
        <f t="shared" si="8"/>
        <v>12.85</v>
      </c>
      <c r="I14" s="22">
        <f t="shared" si="2"/>
        <v>73</v>
      </c>
      <c r="J14" s="20">
        <f t="shared" ref="J14:K14" si="11">G14</f>
        <v>60.15</v>
      </c>
      <c r="K14" s="23">
        <f t="shared" si="11"/>
        <v>12.85</v>
      </c>
      <c r="L14" s="21">
        <f t="shared" si="10"/>
        <v>0</v>
      </c>
      <c r="M14" s="21">
        <f t="shared" si="4"/>
        <v>0</v>
      </c>
      <c r="N14" s="24">
        <f t="shared" si="5"/>
        <v>73</v>
      </c>
    </row>
    <row r="15" spans="1:19" ht="14.5">
      <c r="B15" s="17">
        <v>4</v>
      </c>
      <c r="C15" s="18">
        <f t="shared" si="6"/>
        <v>45446</v>
      </c>
      <c r="D15" s="18"/>
      <c r="E15" s="19">
        <f t="shared" si="0"/>
        <v>0</v>
      </c>
      <c r="F15" s="20">
        <f t="shared" si="7"/>
        <v>309.94000000000005</v>
      </c>
      <c r="G15" s="21">
        <f t="shared" si="1"/>
        <v>62.24</v>
      </c>
      <c r="H15" s="21">
        <f t="shared" si="8"/>
        <v>10.76</v>
      </c>
      <c r="I15" s="22">
        <f t="shared" si="2"/>
        <v>73</v>
      </c>
      <c r="J15" s="20">
        <f t="shared" ref="J15:K15" si="12">G15</f>
        <v>62.24</v>
      </c>
      <c r="K15" s="23">
        <f t="shared" si="12"/>
        <v>10.76</v>
      </c>
      <c r="L15" s="21">
        <f t="shared" si="10"/>
        <v>0</v>
      </c>
      <c r="M15" s="21">
        <f t="shared" si="4"/>
        <v>0</v>
      </c>
      <c r="N15" s="24">
        <f t="shared" si="5"/>
        <v>73</v>
      </c>
    </row>
    <row r="16" spans="1:19" ht="14.5">
      <c r="B16" s="17">
        <v>5</v>
      </c>
      <c r="C16" s="18">
        <f t="shared" si="6"/>
        <v>45460</v>
      </c>
      <c r="D16" s="18"/>
      <c r="E16" s="19">
        <f t="shared" si="0"/>
        <v>0</v>
      </c>
      <c r="F16" s="20">
        <f t="shared" si="7"/>
        <v>247.70000000000005</v>
      </c>
      <c r="G16" s="21">
        <f t="shared" si="1"/>
        <v>64.400000000000006</v>
      </c>
      <c r="H16" s="21">
        <f t="shared" si="8"/>
        <v>8.6</v>
      </c>
      <c r="I16" s="22">
        <f t="shared" si="2"/>
        <v>73</v>
      </c>
      <c r="J16" s="20">
        <f t="shared" ref="J16:K16" si="13">G16</f>
        <v>64.400000000000006</v>
      </c>
      <c r="K16" s="23">
        <f t="shared" si="13"/>
        <v>8.6</v>
      </c>
      <c r="L16" s="21">
        <f t="shared" si="10"/>
        <v>0</v>
      </c>
      <c r="M16" s="21">
        <f t="shared" si="4"/>
        <v>0</v>
      </c>
      <c r="N16" s="24">
        <f t="shared" si="5"/>
        <v>73</v>
      </c>
    </row>
    <row r="17" spans="2:14" ht="14.5">
      <c r="B17" s="17">
        <v>6</v>
      </c>
      <c r="C17" s="18">
        <f t="shared" si="6"/>
        <v>45474</v>
      </c>
      <c r="D17" s="18"/>
      <c r="E17" s="19">
        <f t="shared" si="0"/>
        <v>0</v>
      </c>
      <c r="F17" s="20">
        <f t="shared" si="7"/>
        <v>183.30000000000004</v>
      </c>
      <c r="G17" s="21">
        <f t="shared" si="1"/>
        <v>66.63</v>
      </c>
      <c r="H17" s="21">
        <f t="shared" si="8"/>
        <v>6.37</v>
      </c>
      <c r="I17" s="22">
        <f t="shared" si="2"/>
        <v>73</v>
      </c>
      <c r="J17" s="20">
        <f t="shared" ref="J17:K17" si="14">G17</f>
        <v>66.63</v>
      </c>
      <c r="K17" s="23">
        <f t="shared" si="14"/>
        <v>6.37</v>
      </c>
      <c r="L17" s="21">
        <f t="shared" si="10"/>
        <v>0</v>
      </c>
      <c r="M17" s="21">
        <f t="shared" si="4"/>
        <v>0</v>
      </c>
      <c r="N17" s="24">
        <f t="shared" si="5"/>
        <v>73</v>
      </c>
    </row>
    <row r="18" spans="2:14" ht="14.5">
      <c r="B18" s="17">
        <v>7</v>
      </c>
      <c r="C18" s="18">
        <f t="shared" si="6"/>
        <v>45488</v>
      </c>
      <c r="D18" s="18"/>
      <c r="E18" s="19">
        <f t="shared" si="0"/>
        <v>0</v>
      </c>
      <c r="F18" s="20">
        <f t="shared" si="7"/>
        <v>116.67000000000004</v>
      </c>
      <c r="G18" s="21">
        <f t="shared" si="1"/>
        <v>68.95</v>
      </c>
      <c r="H18" s="21">
        <f t="shared" si="8"/>
        <v>4.05</v>
      </c>
      <c r="I18" s="22">
        <f t="shared" si="2"/>
        <v>73</v>
      </c>
      <c r="J18" s="20">
        <f t="shared" ref="J18:K18" si="15">G18</f>
        <v>68.95</v>
      </c>
      <c r="K18" s="23">
        <f t="shared" si="15"/>
        <v>4.05</v>
      </c>
      <c r="L18" s="21">
        <f t="shared" si="10"/>
        <v>0</v>
      </c>
      <c r="M18" s="21">
        <f t="shared" si="4"/>
        <v>0</v>
      </c>
      <c r="N18" s="24">
        <f t="shared" si="5"/>
        <v>73</v>
      </c>
    </row>
    <row r="19" spans="2:14" ht="14.5">
      <c r="B19" s="17">
        <v>8</v>
      </c>
      <c r="C19" s="18">
        <f t="shared" si="6"/>
        <v>45502</v>
      </c>
      <c r="D19" s="18"/>
      <c r="E19" s="19">
        <f t="shared" si="0"/>
        <v>0</v>
      </c>
      <c r="F19" s="25">
        <f t="shared" si="7"/>
        <v>47.720000000000041</v>
      </c>
      <c r="G19" s="26">
        <f t="shared" si="1"/>
        <v>47.720000000000041</v>
      </c>
      <c r="H19" s="26">
        <f t="shared" si="8"/>
        <v>1.66</v>
      </c>
      <c r="I19" s="27">
        <f>F19+H19</f>
        <v>49.380000000000038</v>
      </c>
      <c r="J19" s="25">
        <f t="shared" ref="J19:K19" si="16">G19</f>
        <v>47.720000000000041</v>
      </c>
      <c r="K19" s="28">
        <f t="shared" si="16"/>
        <v>1.66</v>
      </c>
      <c r="L19" s="26">
        <f t="shared" si="10"/>
        <v>0</v>
      </c>
      <c r="M19" s="26">
        <f t="shared" si="4"/>
        <v>0</v>
      </c>
      <c r="N19" s="29">
        <f t="shared" si="5"/>
        <v>49.380000000000038</v>
      </c>
    </row>
    <row r="21" spans="2:14" ht="15.75" customHeight="1"/>
    <row r="22" spans="2:14" ht="15.75" customHeight="1"/>
    <row r="23" spans="2:14" ht="15.75" customHeight="1"/>
    <row r="24" spans="2:14" ht="15.75" customHeight="1"/>
    <row r="25" spans="2:14" ht="15.75" customHeight="1"/>
    <row r="26" spans="2:14" ht="15.75" customHeight="1"/>
    <row r="27" spans="2:14" ht="15.75" customHeight="1"/>
    <row r="28" spans="2:14" ht="15.75" customHeight="1"/>
    <row r="29" spans="2:14" ht="15.75" customHeight="1"/>
    <row r="30" spans="2:14" ht="15.75" customHeight="1"/>
    <row r="31" spans="2:14" ht="15.75" customHeight="1"/>
    <row r="32" spans="2:1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4">
    <mergeCell ref="M10:M11"/>
    <mergeCell ref="N10:N11"/>
    <mergeCell ref="F10:F11"/>
    <mergeCell ref="G10:G11"/>
    <mergeCell ref="H10:H11"/>
    <mergeCell ref="I10:I11"/>
    <mergeCell ref="J10:J11"/>
    <mergeCell ref="K10:L10"/>
    <mergeCell ref="A1:O2"/>
    <mergeCell ref="A4:C4"/>
    <mergeCell ref="A5:B5"/>
    <mergeCell ref="A6:B6"/>
    <mergeCell ref="F9:I9"/>
    <mergeCell ref="J9:N9"/>
  </mergeCells>
  <conditionalFormatting sqref="E12:E19">
    <cfRule type="cellIs" dxfId="5" priority="1" operator="greaterThan">
      <formula>0</formula>
    </cfRule>
  </conditionalFormatting>
  <conditionalFormatting sqref="L12:M19">
    <cfRule type="cellIs" dxfId="4" priority="2" operator="greaterThan">
      <formula>0</formula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2DFBD-C17D-4956-87DF-49B5B369618D}">
  <dimension ref="B2:J4"/>
  <sheetViews>
    <sheetView workbookViewId="0">
      <selection activeCell="F6" sqref="F6"/>
    </sheetView>
  </sheetViews>
  <sheetFormatPr baseColWidth="10" defaultRowHeight="14.5"/>
  <cols>
    <col min="4" max="4" width="14.26953125" customWidth="1"/>
    <col min="5" max="5" width="17.26953125" customWidth="1"/>
    <col min="7" max="7" width="15.81640625" customWidth="1"/>
    <col min="8" max="8" width="23.7265625" customWidth="1"/>
  </cols>
  <sheetData>
    <row r="2" spans="2:10" ht="15.5"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J2" s="32"/>
    </row>
    <row r="3" spans="2:10">
      <c r="B3" s="34">
        <v>500</v>
      </c>
      <c r="C3" s="30">
        <v>7.5899999999999995E-2</v>
      </c>
      <c r="D3" s="31">
        <v>45919</v>
      </c>
      <c r="E3" s="31">
        <v>45922</v>
      </c>
      <c r="F3">
        <f>E3-D3</f>
        <v>3</v>
      </c>
      <c r="G3">
        <f>ROUND(((1+$C$3)^(1/30)-1)*B3,2)</f>
        <v>1.22</v>
      </c>
      <c r="H3">
        <f>G3*F3</f>
        <v>3.66</v>
      </c>
    </row>
    <row r="4" spans="2:10" ht="15.5">
      <c r="J4" s="3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00"/>
  <sheetViews>
    <sheetView showGridLines="0" topLeftCell="A4" workbookViewId="0">
      <selection activeCell="I19" sqref="I19"/>
    </sheetView>
  </sheetViews>
  <sheetFormatPr baseColWidth="10" defaultColWidth="14.453125" defaultRowHeight="15" customHeight="1"/>
  <cols>
    <col min="1" max="1" width="10.54296875" customWidth="1"/>
    <col min="2" max="2" width="7.26953125" customWidth="1"/>
    <col min="3" max="4" width="13" customWidth="1"/>
    <col min="5" max="5" width="7.7265625" customWidth="1"/>
    <col min="6" max="6" width="15.453125" customWidth="1"/>
    <col min="7" max="9" width="12.81640625" customWidth="1"/>
    <col min="10" max="10" width="11.7265625" customWidth="1"/>
    <col min="11" max="11" width="15.1796875" customWidth="1"/>
    <col min="12" max="12" width="18.1796875" customWidth="1"/>
    <col min="13" max="13" width="13.1796875" customWidth="1"/>
    <col min="14" max="14" width="14.453125" customWidth="1"/>
    <col min="15" max="15" width="11.7265625" customWidth="1"/>
    <col min="16" max="16" width="10.54296875" customWidth="1"/>
    <col min="17" max="17" width="13.453125" customWidth="1"/>
    <col min="18" max="19" width="10.54296875" customWidth="1"/>
  </cols>
  <sheetData>
    <row r="1" spans="1:19" ht="15" customHeight="1">
      <c r="A1" s="117" t="s">
        <v>24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9"/>
      <c r="P1" s="1"/>
      <c r="Q1" s="1"/>
      <c r="R1" s="1"/>
      <c r="S1" s="1"/>
    </row>
    <row r="2" spans="1:19" ht="15" customHeight="1">
      <c r="A2" s="120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2"/>
      <c r="P2" s="1"/>
      <c r="Q2" s="1"/>
      <c r="R2" s="1"/>
      <c r="S2" s="1"/>
    </row>
    <row r="3" spans="1:19" ht="11.2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4"/>
      <c r="R3" s="4"/>
      <c r="S3" s="4"/>
    </row>
    <row r="4" spans="1:19" ht="15.75" customHeight="1">
      <c r="A4" s="123" t="s">
        <v>1</v>
      </c>
      <c r="B4" s="124"/>
      <c r="C4" s="125"/>
      <c r="F4" t="s">
        <v>2</v>
      </c>
      <c r="G4" s="6">
        <v>6.8900000000000003E-2</v>
      </c>
    </row>
    <row r="5" spans="1:19" ht="14.5">
      <c r="A5" s="147" t="s">
        <v>3</v>
      </c>
      <c r="B5" s="116"/>
      <c r="C5" s="7">
        <v>3000</v>
      </c>
      <c r="D5" s="8"/>
      <c r="E5" s="8"/>
      <c r="F5" t="s">
        <v>4</v>
      </c>
      <c r="G5" s="6">
        <f>((1+G4)^(14/30)-1)</f>
        <v>3.1582507699701612E-2</v>
      </c>
    </row>
    <row r="6" spans="1:19" ht="14.5">
      <c r="A6" s="147" t="s">
        <v>5</v>
      </c>
      <c r="B6" s="116"/>
      <c r="C6" s="9">
        <v>45391</v>
      </c>
      <c r="D6" s="8"/>
      <c r="E6" s="8"/>
      <c r="F6" t="s">
        <v>6</v>
      </c>
      <c r="G6" s="10">
        <v>0.15</v>
      </c>
    </row>
    <row r="7" spans="1:19" ht="14.5" hidden="1">
      <c r="F7" t="s">
        <v>7</v>
      </c>
      <c r="G7" s="11">
        <f>PMT(G5,8,C5,,0)</f>
        <v>-430.22682674529261</v>
      </c>
    </row>
    <row r="8" spans="1:19" ht="10.5" customHeight="1">
      <c r="G8" s="11"/>
    </row>
    <row r="9" spans="1:19" ht="15" customHeight="1">
      <c r="F9" s="127" t="s">
        <v>8</v>
      </c>
      <c r="G9" s="128"/>
      <c r="H9" s="128"/>
      <c r="I9" s="129"/>
      <c r="J9" s="130" t="s">
        <v>9</v>
      </c>
      <c r="K9" s="128"/>
      <c r="L9" s="128"/>
      <c r="M9" s="128"/>
      <c r="N9" s="129"/>
    </row>
    <row r="10" spans="1:19" ht="15" customHeight="1">
      <c r="F10" s="135" t="s">
        <v>10</v>
      </c>
      <c r="G10" s="131" t="s">
        <v>11</v>
      </c>
      <c r="H10" s="131" t="s">
        <v>12</v>
      </c>
      <c r="I10" s="137" t="s">
        <v>13</v>
      </c>
      <c r="J10" s="135" t="s">
        <v>11</v>
      </c>
      <c r="K10" s="115" t="s">
        <v>14</v>
      </c>
      <c r="L10" s="116"/>
      <c r="M10" s="131" t="s">
        <v>15</v>
      </c>
      <c r="N10" s="133" t="s">
        <v>16</v>
      </c>
    </row>
    <row r="11" spans="1:19" ht="29">
      <c r="B11" s="13" t="s">
        <v>17</v>
      </c>
      <c r="C11" s="14" t="s">
        <v>18</v>
      </c>
      <c r="D11" s="14" t="s">
        <v>19</v>
      </c>
      <c r="E11" s="15" t="s">
        <v>20</v>
      </c>
      <c r="F11" s="136"/>
      <c r="G11" s="132"/>
      <c r="H11" s="132"/>
      <c r="I11" s="138"/>
      <c r="J11" s="136"/>
      <c r="K11" s="12" t="s">
        <v>21</v>
      </c>
      <c r="L11" s="16" t="s">
        <v>22</v>
      </c>
      <c r="M11" s="132"/>
      <c r="N11" s="134"/>
    </row>
    <row r="12" spans="1:19" ht="15" customHeight="1">
      <c r="B12" s="17">
        <v>1</v>
      </c>
      <c r="C12" s="18">
        <f>C6+14</f>
        <v>45405</v>
      </c>
      <c r="D12" s="18"/>
      <c r="E12" s="19">
        <f t="shared" ref="E12:E19" si="0">IF(D12="",0,D12-C12)</f>
        <v>0</v>
      </c>
      <c r="F12" s="20">
        <f>C5</f>
        <v>3000</v>
      </c>
      <c r="G12" s="21">
        <f t="shared" ref="G12:G19" si="1">I12-H12</f>
        <v>336.25</v>
      </c>
      <c r="H12" s="21">
        <f t="shared" ref="H12:H19" si="2">ROUND(((1+$G$4)^(14/30)-1)*F12,2)</f>
        <v>94.75</v>
      </c>
      <c r="I12" s="22">
        <f t="shared" ref="I12:I18" si="3">ROUNDUP($G$7,0)*-1</f>
        <v>431</v>
      </c>
      <c r="J12" s="20">
        <f t="shared" ref="J12:K12" si="4">G12</f>
        <v>336.25</v>
      </c>
      <c r="K12" s="23">
        <f t="shared" si="4"/>
        <v>94.75</v>
      </c>
      <c r="L12" s="21">
        <f t="shared" ref="L12:L19" si="5">IF(E12&lt;0,0,ROUND((((1+$G$4)^(E12/30))-1)*(I12),2))</f>
        <v>0</v>
      </c>
      <c r="M12" s="21">
        <f t="shared" ref="M12:M19" si="6">IF(E12&lt;0,0,ROUND((((1+$G$6)^(E12/360))-1)*G12,2))</f>
        <v>0</v>
      </c>
      <c r="N12" s="24">
        <f t="shared" ref="N12:N19" si="7">SUM(J12:M12)</f>
        <v>431</v>
      </c>
    </row>
    <row r="13" spans="1:19" ht="14.5">
      <c r="B13" s="17">
        <v>2</v>
      </c>
      <c r="C13" s="18">
        <f t="shared" ref="C13:C19" si="8">C12+14</f>
        <v>45419</v>
      </c>
      <c r="D13" s="18"/>
      <c r="E13" s="19">
        <f t="shared" si="0"/>
        <v>0</v>
      </c>
      <c r="F13" s="20">
        <f t="shared" ref="F13:F19" si="9">F12-G12</f>
        <v>2663.75</v>
      </c>
      <c r="G13" s="21">
        <f t="shared" si="1"/>
        <v>346.87</v>
      </c>
      <c r="H13" s="21">
        <f t="shared" si="2"/>
        <v>84.13</v>
      </c>
      <c r="I13" s="22">
        <f t="shared" si="3"/>
        <v>431</v>
      </c>
      <c r="J13" s="20">
        <f t="shared" ref="J13:K13" si="10">G13</f>
        <v>346.87</v>
      </c>
      <c r="K13" s="23">
        <f t="shared" si="10"/>
        <v>84.13</v>
      </c>
      <c r="L13" s="21">
        <f t="shared" si="5"/>
        <v>0</v>
      </c>
      <c r="M13" s="21">
        <f t="shared" si="6"/>
        <v>0</v>
      </c>
      <c r="N13" s="24">
        <f t="shared" si="7"/>
        <v>431</v>
      </c>
    </row>
    <row r="14" spans="1:19" ht="14.5">
      <c r="B14" s="17">
        <v>3</v>
      </c>
      <c r="C14" s="18">
        <f t="shared" si="8"/>
        <v>45433</v>
      </c>
      <c r="D14" s="18"/>
      <c r="E14" s="19">
        <f t="shared" si="0"/>
        <v>0</v>
      </c>
      <c r="F14" s="20">
        <f t="shared" si="9"/>
        <v>2316.88</v>
      </c>
      <c r="G14" s="21">
        <f t="shared" si="1"/>
        <v>357.83</v>
      </c>
      <c r="H14" s="21">
        <f t="shared" si="2"/>
        <v>73.17</v>
      </c>
      <c r="I14" s="22">
        <f t="shared" si="3"/>
        <v>431</v>
      </c>
      <c r="J14" s="20">
        <f t="shared" ref="J14:K14" si="11">G14</f>
        <v>357.83</v>
      </c>
      <c r="K14" s="23">
        <f t="shared" si="11"/>
        <v>73.17</v>
      </c>
      <c r="L14" s="21">
        <f t="shared" si="5"/>
        <v>0</v>
      </c>
      <c r="M14" s="21">
        <f t="shared" si="6"/>
        <v>0</v>
      </c>
      <c r="N14" s="24">
        <f t="shared" si="7"/>
        <v>431</v>
      </c>
    </row>
    <row r="15" spans="1:19" ht="14.5">
      <c r="B15" s="17">
        <v>4</v>
      </c>
      <c r="C15" s="18">
        <f t="shared" si="8"/>
        <v>45447</v>
      </c>
      <c r="D15" s="18"/>
      <c r="E15" s="19">
        <f t="shared" si="0"/>
        <v>0</v>
      </c>
      <c r="F15" s="20">
        <f t="shared" si="9"/>
        <v>1959.0500000000002</v>
      </c>
      <c r="G15" s="21">
        <f t="shared" si="1"/>
        <v>369.13</v>
      </c>
      <c r="H15" s="21">
        <f t="shared" si="2"/>
        <v>61.87</v>
      </c>
      <c r="I15" s="22">
        <f t="shared" si="3"/>
        <v>431</v>
      </c>
      <c r="J15" s="20">
        <f t="shared" ref="J15:K15" si="12">G15</f>
        <v>369.13</v>
      </c>
      <c r="K15" s="23">
        <f t="shared" si="12"/>
        <v>61.87</v>
      </c>
      <c r="L15" s="21">
        <f t="shared" si="5"/>
        <v>0</v>
      </c>
      <c r="M15" s="21">
        <f t="shared" si="6"/>
        <v>0</v>
      </c>
      <c r="N15" s="24">
        <f t="shared" si="7"/>
        <v>431</v>
      </c>
    </row>
    <row r="16" spans="1:19" ht="14.5">
      <c r="B16" s="17">
        <v>5</v>
      </c>
      <c r="C16" s="18">
        <f t="shared" si="8"/>
        <v>45461</v>
      </c>
      <c r="D16" s="18"/>
      <c r="E16" s="19">
        <f t="shared" si="0"/>
        <v>0</v>
      </c>
      <c r="F16" s="20">
        <f t="shared" si="9"/>
        <v>1589.92</v>
      </c>
      <c r="G16" s="21">
        <f t="shared" si="1"/>
        <v>380.79</v>
      </c>
      <c r="H16" s="21">
        <f t="shared" si="2"/>
        <v>50.21</v>
      </c>
      <c r="I16" s="22">
        <f t="shared" si="3"/>
        <v>431</v>
      </c>
      <c r="J16" s="20">
        <f t="shared" ref="J16:K16" si="13">G16</f>
        <v>380.79</v>
      </c>
      <c r="K16" s="23">
        <f t="shared" si="13"/>
        <v>50.21</v>
      </c>
      <c r="L16" s="21">
        <f t="shared" si="5"/>
        <v>0</v>
      </c>
      <c r="M16" s="21">
        <f t="shared" si="6"/>
        <v>0</v>
      </c>
      <c r="N16" s="24">
        <f t="shared" si="7"/>
        <v>431</v>
      </c>
    </row>
    <row r="17" spans="2:14" ht="14.5">
      <c r="B17" s="17">
        <v>6</v>
      </c>
      <c r="C17" s="18">
        <f t="shared" si="8"/>
        <v>45475</v>
      </c>
      <c r="D17" s="18"/>
      <c r="E17" s="19">
        <f t="shared" si="0"/>
        <v>0</v>
      </c>
      <c r="F17" s="20">
        <f t="shared" si="9"/>
        <v>1209.1300000000001</v>
      </c>
      <c r="G17" s="21">
        <f t="shared" si="1"/>
        <v>392.81</v>
      </c>
      <c r="H17" s="21">
        <f t="shared" si="2"/>
        <v>38.19</v>
      </c>
      <c r="I17" s="22">
        <f t="shared" si="3"/>
        <v>431</v>
      </c>
      <c r="J17" s="20">
        <f t="shared" ref="J17:K17" si="14">G17</f>
        <v>392.81</v>
      </c>
      <c r="K17" s="23">
        <f t="shared" si="14"/>
        <v>38.19</v>
      </c>
      <c r="L17" s="21">
        <f t="shared" si="5"/>
        <v>0</v>
      </c>
      <c r="M17" s="21">
        <f t="shared" si="6"/>
        <v>0</v>
      </c>
      <c r="N17" s="24">
        <f t="shared" si="7"/>
        <v>431</v>
      </c>
    </row>
    <row r="18" spans="2:14" ht="14.5">
      <c r="B18" s="17">
        <v>7</v>
      </c>
      <c r="C18" s="18">
        <f t="shared" si="8"/>
        <v>45489</v>
      </c>
      <c r="D18" s="18"/>
      <c r="E18" s="19">
        <f t="shared" si="0"/>
        <v>0</v>
      </c>
      <c r="F18" s="20">
        <f t="shared" si="9"/>
        <v>816.32000000000016</v>
      </c>
      <c r="G18" s="21">
        <f t="shared" si="1"/>
        <v>405.22</v>
      </c>
      <c r="H18" s="21">
        <f t="shared" si="2"/>
        <v>25.78</v>
      </c>
      <c r="I18" s="22">
        <f t="shared" si="3"/>
        <v>431</v>
      </c>
      <c r="J18" s="20">
        <f t="shared" ref="J18:K18" si="15">G18</f>
        <v>405.22</v>
      </c>
      <c r="K18" s="23">
        <f t="shared" si="15"/>
        <v>25.78</v>
      </c>
      <c r="L18" s="21">
        <f t="shared" si="5"/>
        <v>0</v>
      </c>
      <c r="M18" s="21">
        <f t="shared" si="6"/>
        <v>0</v>
      </c>
      <c r="N18" s="24">
        <f t="shared" si="7"/>
        <v>431</v>
      </c>
    </row>
    <row r="19" spans="2:14" ht="14.5">
      <c r="B19" s="17">
        <v>8</v>
      </c>
      <c r="C19" s="18">
        <f t="shared" si="8"/>
        <v>45503</v>
      </c>
      <c r="D19" s="18"/>
      <c r="E19" s="19">
        <f t="shared" si="0"/>
        <v>0</v>
      </c>
      <c r="F19" s="25">
        <f t="shared" si="9"/>
        <v>411.10000000000014</v>
      </c>
      <c r="G19" s="26">
        <f t="shared" si="1"/>
        <v>411.10000000000014</v>
      </c>
      <c r="H19" s="26">
        <f t="shared" si="2"/>
        <v>12.98</v>
      </c>
      <c r="I19" s="27">
        <f>F19+H19</f>
        <v>424.08000000000015</v>
      </c>
      <c r="J19" s="25">
        <f t="shared" ref="J19:K19" si="16">G19</f>
        <v>411.10000000000014</v>
      </c>
      <c r="K19" s="28">
        <f t="shared" si="16"/>
        <v>12.98</v>
      </c>
      <c r="L19" s="26">
        <f t="shared" si="5"/>
        <v>0</v>
      </c>
      <c r="M19" s="26">
        <f t="shared" si="6"/>
        <v>0</v>
      </c>
      <c r="N19" s="29">
        <f t="shared" si="7"/>
        <v>424.08000000000015</v>
      </c>
    </row>
    <row r="21" spans="2:14" ht="15.75" customHeight="1"/>
    <row r="22" spans="2:14" ht="15.75" customHeight="1"/>
    <row r="23" spans="2:14" ht="15.75" customHeight="1"/>
    <row r="24" spans="2:14" ht="15.75" customHeight="1"/>
    <row r="25" spans="2:14" ht="15.75" customHeight="1"/>
    <row r="26" spans="2:14" ht="15.75" customHeight="1"/>
    <row r="27" spans="2:14" ht="15.75" customHeight="1"/>
    <row r="28" spans="2:14" ht="15.75" customHeight="1"/>
    <row r="29" spans="2:14" ht="15.75" customHeight="1"/>
    <row r="30" spans="2:14" ht="15.75" customHeight="1"/>
    <row r="31" spans="2:14" ht="15.75" customHeight="1"/>
    <row r="32" spans="2:1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4">
    <mergeCell ref="M10:M11"/>
    <mergeCell ref="N10:N11"/>
    <mergeCell ref="F10:F11"/>
    <mergeCell ref="G10:G11"/>
    <mergeCell ref="H10:H11"/>
    <mergeCell ref="I10:I11"/>
    <mergeCell ref="J10:J11"/>
    <mergeCell ref="K10:L10"/>
    <mergeCell ref="A1:O2"/>
    <mergeCell ref="A4:C4"/>
    <mergeCell ref="A5:B5"/>
    <mergeCell ref="A6:B6"/>
    <mergeCell ref="F9:I9"/>
    <mergeCell ref="J9:N9"/>
  </mergeCells>
  <conditionalFormatting sqref="E12:E19">
    <cfRule type="cellIs" dxfId="3" priority="1" operator="greaterThan">
      <formula>0</formula>
    </cfRule>
  </conditionalFormatting>
  <conditionalFormatting sqref="L12:M19">
    <cfRule type="cellIs" dxfId="2" priority="2" operator="greaterThan">
      <formula>0</formula>
    </cfRule>
  </conditionalFormatting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7EBB8-6D47-4B30-91E2-2D9F665F90A2}">
  <dimension ref="A1:U62"/>
  <sheetViews>
    <sheetView showGridLines="0" tabSelected="1" zoomScale="85" zoomScaleNormal="85" workbookViewId="0">
      <selection activeCell="G10" sqref="G10:H10"/>
    </sheetView>
  </sheetViews>
  <sheetFormatPr baseColWidth="10" defaultColWidth="14.453125" defaultRowHeight="15" customHeight="1"/>
  <cols>
    <col min="1" max="1" width="10.7265625" style="59" customWidth="1"/>
    <col min="2" max="2" width="9.453125" style="59" customWidth="1"/>
    <col min="3" max="3" width="17.54296875" style="59" customWidth="1"/>
    <col min="4" max="4" width="13" style="72" hidden="1" customWidth="1"/>
    <col min="5" max="5" width="13" style="64" hidden="1" customWidth="1"/>
    <col min="6" max="6" width="14.7265625" style="59" hidden="1" customWidth="1"/>
    <col min="7" max="7" width="20.26953125" style="59" customWidth="1"/>
    <col min="8" max="8" width="18.26953125" style="59" customWidth="1"/>
    <col min="9" max="9" width="19.54296875" style="59" customWidth="1"/>
    <col min="10" max="10" width="22.54296875" style="59" customWidth="1"/>
    <col min="11" max="11" width="19.54296875" style="59" customWidth="1"/>
    <col min="12" max="12" width="12.1796875" style="59" hidden="1" customWidth="1"/>
    <col min="13" max="13" width="11.453125" style="59" hidden="1" customWidth="1"/>
    <col min="14" max="14" width="8.26953125" style="59" hidden="1" customWidth="1"/>
    <col min="15" max="15" width="20.7265625" style="59" hidden="1" customWidth="1"/>
    <col min="16" max="16" width="43.453125" style="59" hidden="1" customWidth="1"/>
    <col min="17" max="17" width="14.36328125" style="59" customWidth="1"/>
    <col min="18" max="18" width="10.7265625" style="59" customWidth="1"/>
    <col min="19" max="19" width="14" style="59" customWidth="1"/>
    <col min="20" max="21" width="10.7265625" style="59" customWidth="1"/>
    <col min="22" max="16384" width="14.453125" style="59"/>
  </cols>
  <sheetData>
    <row r="1" spans="1:21" ht="15" customHeight="1">
      <c r="A1" s="102" t="s">
        <v>46</v>
      </c>
      <c r="B1" s="103"/>
      <c r="C1" s="103"/>
      <c r="D1" s="104"/>
      <c r="E1" s="103"/>
      <c r="F1" s="103"/>
      <c r="G1" s="103"/>
      <c r="H1" s="103"/>
      <c r="I1" s="103"/>
      <c r="J1" s="104"/>
      <c r="K1" s="103"/>
      <c r="L1" s="103"/>
      <c r="M1" s="103"/>
      <c r="N1" s="103"/>
      <c r="O1" s="103"/>
      <c r="P1" s="103"/>
      <c r="Q1" s="105"/>
      <c r="R1" s="58"/>
      <c r="S1" s="58"/>
      <c r="T1" s="58"/>
      <c r="U1" s="58"/>
    </row>
    <row r="2" spans="1:21" ht="15" customHeight="1">
      <c r="A2" s="106"/>
      <c r="B2" s="107"/>
      <c r="C2" s="107"/>
      <c r="D2" s="104"/>
      <c r="E2" s="107"/>
      <c r="F2" s="107"/>
      <c r="G2" s="107"/>
      <c r="H2" s="107"/>
      <c r="I2" s="107"/>
      <c r="J2" s="104"/>
      <c r="K2" s="107"/>
      <c r="L2" s="107"/>
      <c r="M2" s="107"/>
      <c r="N2" s="107"/>
      <c r="O2" s="107"/>
      <c r="P2" s="107"/>
      <c r="Q2" s="108"/>
      <c r="R2" s="58"/>
      <c r="S2" s="58"/>
      <c r="T2" s="58"/>
      <c r="U2" s="58"/>
    </row>
    <row r="3" spans="1:21" ht="11.25" customHeight="1">
      <c r="A3" s="60"/>
      <c r="B3" s="61"/>
      <c r="C3" s="61"/>
      <c r="D3" s="62"/>
      <c r="E3" s="63"/>
      <c r="F3" s="61"/>
      <c r="G3" s="61"/>
      <c r="H3" s="64"/>
      <c r="I3" s="61"/>
      <c r="J3" s="65"/>
      <c r="K3" s="61"/>
      <c r="L3" s="61"/>
      <c r="M3" s="61"/>
      <c r="N3" s="61"/>
      <c r="O3" s="61"/>
      <c r="P3" s="61"/>
      <c r="Q3" s="61"/>
      <c r="R3" s="66"/>
      <c r="S3" s="66"/>
      <c r="T3" s="66"/>
      <c r="U3" s="66"/>
    </row>
    <row r="4" spans="1:21" ht="15.75" customHeight="1">
      <c r="A4" s="109" t="s">
        <v>1</v>
      </c>
      <c r="B4" s="110"/>
      <c r="C4" s="104"/>
      <c r="D4" s="67"/>
      <c r="E4" s="68"/>
      <c r="K4" s="69"/>
    </row>
    <row r="5" spans="1:21" ht="16.5">
      <c r="A5" s="151" t="s">
        <v>3</v>
      </c>
      <c r="B5" s="151"/>
      <c r="C5" s="152">
        <v>1000</v>
      </c>
      <c r="D5" s="70"/>
      <c r="F5" s="71"/>
      <c r="I5" s="148"/>
    </row>
    <row r="6" spans="1:21" ht="16.5">
      <c r="A6" s="151" t="s">
        <v>5</v>
      </c>
      <c r="B6" s="151"/>
      <c r="C6" s="153">
        <v>46367</v>
      </c>
      <c r="D6" s="70"/>
      <c r="E6" s="68"/>
      <c r="F6" s="71"/>
      <c r="I6" s="148"/>
    </row>
    <row r="7" spans="1:21" ht="13.5" hidden="1" customHeight="1">
      <c r="A7" s="89"/>
      <c r="B7" s="89"/>
      <c r="C7" s="89"/>
      <c r="G7" s="59" t="s">
        <v>7</v>
      </c>
      <c r="H7" s="73">
        <f>PMT(H10+C11,B24,C5)</f>
        <v>-145.01754363384663</v>
      </c>
      <c r="I7" s="74"/>
    </row>
    <row r="8" spans="1:21" ht="27" hidden="1" customHeight="1">
      <c r="A8" s="89"/>
      <c r="B8" s="89"/>
      <c r="C8" s="89"/>
      <c r="H8" s="73"/>
      <c r="I8" s="74">
        <f>(C5*(H10+C11))/(1-(1+(H10+C11))^(-8))</f>
        <v>145.01754363384691</v>
      </c>
      <c r="J8" s="74">
        <f>I8+J17</f>
        <v>149.20754363384691</v>
      </c>
    </row>
    <row r="9" spans="1:21" ht="15" hidden="1" customHeight="1">
      <c r="A9" s="89"/>
      <c r="B9" s="89"/>
      <c r="C9" s="89"/>
      <c r="G9" s="111" t="s">
        <v>8</v>
      </c>
      <c r="H9" s="112"/>
      <c r="I9" s="112"/>
      <c r="J9" s="112"/>
      <c r="K9" s="113"/>
      <c r="L9" s="114" t="s">
        <v>9</v>
      </c>
      <c r="M9" s="112"/>
      <c r="N9" s="112"/>
      <c r="O9" s="112"/>
      <c r="P9" s="113"/>
    </row>
    <row r="10" spans="1:21" ht="15" customHeight="1">
      <c r="A10" s="151" t="s">
        <v>34</v>
      </c>
      <c r="B10" s="151"/>
      <c r="C10" s="157">
        <v>1.1413</v>
      </c>
      <c r="G10" s="155" t="s">
        <v>4</v>
      </c>
      <c r="H10" s="156">
        <f>((1+C10)^(14/360))-1</f>
        <v>3.0053260646357494E-2</v>
      </c>
      <c r="I10" s="97"/>
      <c r="J10" s="97"/>
      <c r="K10" s="97"/>
      <c r="L10" s="150"/>
      <c r="M10" s="97"/>
      <c r="N10" s="97"/>
      <c r="O10" s="97"/>
      <c r="P10" s="97"/>
    </row>
    <row r="11" spans="1:21" ht="15" customHeight="1">
      <c r="A11" s="154" t="s">
        <v>35</v>
      </c>
      <c r="B11" s="154"/>
      <c r="C11" s="159">
        <v>4.1900000000000001E-3</v>
      </c>
      <c r="G11" s="149"/>
      <c r="H11" s="64"/>
      <c r="I11" s="97"/>
      <c r="J11" s="97"/>
      <c r="K11" s="97"/>
      <c r="L11" s="150"/>
      <c r="M11" s="97"/>
      <c r="N11" s="97"/>
      <c r="O11" s="97"/>
      <c r="P11" s="97"/>
    </row>
    <row r="12" spans="1:21" ht="15" hidden="1" customHeight="1">
      <c r="A12" s="151" t="s">
        <v>6</v>
      </c>
      <c r="B12" s="151"/>
      <c r="C12" s="158">
        <v>0.15</v>
      </c>
      <c r="H12" s="64"/>
      <c r="I12" s="97"/>
      <c r="J12" s="97"/>
      <c r="K12" s="97"/>
      <c r="L12" s="150"/>
      <c r="M12" s="97"/>
      <c r="N12" s="97"/>
      <c r="O12" s="97"/>
      <c r="P12" s="97"/>
    </row>
    <row r="13" spans="1:21" ht="15" customHeight="1">
      <c r="H13" s="64"/>
      <c r="I13" s="97"/>
      <c r="J13" s="97"/>
      <c r="K13" s="97"/>
      <c r="L13" s="150"/>
      <c r="M13" s="97"/>
      <c r="N13" s="97"/>
      <c r="O13" s="97"/>
      <c r="P13" s="97"/>
    </row>
    <row r="14" spans="1:21" ht="15.75" hidden="1" customHeight="1"/>
    <row r="15" spans="1:21" ht="38.25" customHeight="1">
      <c r="B15" s="86" t="s">
        <v>7</v>
      </c>
      <c r="C15" s="86" t="s">
        <v>18</v>
      </c>
      <c r="D15" s="87"/>
      <c r="E15" s="88"/>
      <c r="F15" s="89"/>
      <c r="G15" s="86" t="s">
        <v>10</v>
      </c>
      <c r="H15" s="86" t="s">
        <v>40</v>
      </c>
      <c r="I15" s="86" t="s">
        <v>41</v>
      </c>
      <c r="J15" s="86" t="s">
        <v>42</v>
      </c>
      <c r="K15" s="86" t="s">
        <v>43</v>
      </c>
      <c r="L15" s="83" t="s">
        <v>11</v>
      </c>
      <c r="M15" s="100" t="s">
        <v>14</v>
      </c>
      <c r="N15" s="101"/>
      <c r="O15" s="75" t="s">
        <v>15</v>
      </c>
      <c r="P15" s="82" t="s">
        <v>16</v>
      </c>
    </row>
    <row r="16" spans="1:21" ht="16.5">
      <c r="B16" s="90" t="s">
        <v>44</v>
      </c>
      <c r="C16" s="91">
        <f>C6</f>
        <v>46367</v>
      </c>
      <c r="D16" s="92"/>
      <c r="E16" s="93"/>
      <c r="F16" s="94"/>
      <c r="G16" s="95">
        <f>C5</f>
        <v>1000</v>
      </c>
      <c r="H16" s="96" t="s">
        <v>45</v>
      </c>
      <c r="I16" s="96" t="s">
        <v>45</v>
      </c>
      <c r="J16" s="96" t="s">
        <v>45</v>
      </c>
      <c r="K16" s="96" t="s">
        <v>45</v>
      </c>
      <c r="L16" s="84"/>
      <c r="M16" s="77"/>
      <c r="N16" s="76"/>
      <c r="O16" s="76"/>
      <c r="P16" s="78"/>
      <c r="Q16" s="98"/>
    </row>
    <row r="17" spans="2:19" ht="16.5">
      <c r="B17" s="90">
        <v>1</v>
      </c>
      <c r="C17" s="91">
        <f>$C$6+14</f>
        <v>46381</v>
      </c>
      <c r="D17" s="92">
        <f>C17-C6</f>
        <v>14</v>
      </c>
      <c r="E17" s="93"/>
      <c r="F17" s="94">
        <f t="shared" ref="F17:F24" si="0">IF(E17="",0,E17-C17)</f>
        <v>0</v>
      </c>
      <c r="G17" s="95">
        <f>C5</f>
        <v>1000</v>
      </c>
      <c r="H17" s="95">
        <f>K17-I17-J17</f>
        <v>111.7567393536425</v>
      </c>
      <c r="I17" s="95">
        <f>G17*$H$10</f>
        <v>30.053260646357494</v>
      </c>
      <c r="J17" s="95">
        <f>G17*$C$11</f>
        <v>4.1900000000000004</v>
      </c>
      <c r="K17" s="95">
        <f>ROUNDUP($H$7,0)*-1</f>
        <v>146</v>
      </c>
      <c r="L17" s="84">
        <f>H17</f>
        <v>111.7567393536425</v>
      </c>
      <c r="M17" s="77">
        <f>I17</f>
        <v>30.053260646357494</v>
      </c>
      <c r="N17" s="76" t="e">
        <f>IF(F17&lt;0,0,ROUND((#REF!)*(K17),2))</f>
        <v>#REF!</v>
      </c>
      <c r="O17" s="76">
        <f>IF(F17&lt;0,0,ROUND(($C$12)*H17,2))</f>
        <v>16.760000000000002</v>
      </c>
      <c r="P17" s="78" t="e">
        <f t="shared" ref="P17:P24" si="1">SUM(L17:O17)</f>
        <v>#REF!</v>
      </c>
      <c r="Q17" s="98"/>
      <c r="R17" s="99"/>
      <c r="S17" s="64"/>
    </row>
    <row r="18" spans="2:19" ht="16.5">
      <c r="B18" s="90">
        <v>2</v>
      </c>
      <c r="C18" s="91">
        <f>C17+14</f>
        <v>46395</v>
      </c>
      <c r="D18" s="92">
        <f>C18-C17</f>
        <v>14</v>
      </c>
      <c r="E18" s="93"/>
      <c r="F18" s="94">
        <f t="shared" si="0"/>
        <v>0</v>
      </c>
      <c r="G18" s="95">
        <f t="shared" ref="G18:G24" si="2">G17-H17</f>
        <v>888.2432606463575</v>
      </c>
      <c r="H18" s="95">
        <f t="shared" ref="H18:H24" si="3">K18-I18-J18</f>
        <v>115.58365450831631</v>
      </c>
      <c r="I18" s="95">
        <f>G18*$H$10</f>
        <v>26.694606229575438</v>
      </c>
      <c r="J18" s="95">
        <f>G18*$C$11</f>
        <v>3.7217392621082381</v>
      </c>
      <c r="K18" s="95">
        <f t="shared" ref="K18:K23" si="4">ROUNDUP($H$7,0)*-1</f>
        <v>146</v>
      </c>
      <c r="L18" s="84">
        <f t="shared" ref="L18:M24" si="5">H18</f>
        <v>115.58365450831631</v>
      </c>
      <c r="M18" s="77">
        <f t="shared" si="5"/>
        <v>26.694606229575438</v>
      </c>
      <c r="N18" s="76" t="e">
        <f>IF(F18&lt;0,0,ROUND((((1+#REF!)^(F18/30))-1)*(K18),2))</f>
        <v>#REF!</v>
      </c>
      <c r="O18" s="76">
        <f>IF(F18&lt;0,0,ROUND((((1+$C$12)^(F18/360))-1)*H18,2))</f>
        <v>0</v>
      </c>
      <c r="P18" s="78" t="e">
        <f t="shared" si="1"/>
        <v>#REF!</v>
      </c>
      <c r="Q18" s="98"/>
      <c r="R18" s="99"/>
      <c r="S18" s="64"/>
    </row>
    <row r="19" spans="2:19" ht="16.5">
      <c r="B19" s="90">
        <v>3</v>
      </c>
      <c r="C19" s="91">
        <f t="shared" ref="C19:C24" si="6">C18+14</f>
        <v>46409</v>
      </c>
      <c r="D19" s="92">
        <f t="shared" ref="D19:D24" si="7">C19-C18</f>
        <v>14</v>
      </c>
      <c r="E19" s="93"/>
      <c r="F19" s="94">
        <f t="shared" si="0"/>
        <v>0</v>
      </c>
      <c r="G19" s="95">
        <f t="shared" si="2"/>
        <v>772.65960613804123</v>
      </c>
      <c r="H19" s="95">
        <f t="shared" si="3"/>
        <v>119.54161571610312</v>
      </c>
      <c r="I19" s="95">
        <f>G19*$H$10</f>
        <v>23.220940534178474</v>
      </c>
      <c r="J19" s="95">
        <f t="shared" ref="J17:J23" si="8">G19*$C$11</f>
        <v>3.237443749718393</v>
      </c>
      <c r="K19" s="95">
        <f t="shared" si="4"/>
        <v>146</v>
      </c>
      <c r="L19" s="84">
        <f t="shared" si="5"/>
        <v>119.54161571610312</v>
      </c>
      <c r="M19" s="77">
        <f t="shared" si="5"/>
        <v>23.220940534178474</v>
      </c>
      <c r="N19" s="76" t="e">
        <f>IF(F19&lt;0,0,ROUND((((1+#REF!)^(F19/30))-1)*(K19),2))</f>
        <v>#REF!</v>
      </c>
      <c r="O19" s="76">
        <f>IF(F19&lt;0,0,ROUND((((1+$C$12)^(F19/360))-1)*H19,2))</f>
        <v>0</v>
      </c>
      <c r="P19" s="78" t="e">
        <f t="shared" si="1"/>
        <v>#REF!</v>
      </c>
      <c r="Q19" s="98"/>
    </row>
    <row r="20" spans="2:19" ht="16.5">
      <c r="B20" s="90">
        <v>4</v>
      </c>
      <c r="C20" s="91">
        <f t="shared" si="6"/>
        <v>46423</v>
      </c>
      <c r="D20" s="92">
        <f t="shared" si="7"/>
        <v>14</v>
      </c>
      <c r="E20" s="93"/>
      <c r="F20" s="94">
        <f t="shared" si="0"/>
        <v>0</v>
      </c>
      <c r="G20" s="95">
        <f t="shared" si="2"/>
        <v>653.11799042193809</v>
      </c>
      <c r="H20" s="95">
        <f t="shared" si="3"/>
        <v>123.63511042115637</v>
      </c>
      <c r="I20" s="95">
        <f>G20*$H$10</f>
        <v>19.628325198975723</v>
      </c>
      <c r="J20" s="95">
        <f t="shared" si="8"/>
        <v>2.7365643798679207</v>
      </c>
      <c r="K20" s="95">
        <f t="shared" si="4"/>
        <v>146</v>
      </c>
      <c r="L20" s="84">
        <f t="shared" si="5"/>
        <v>123.63511042115637</v>
      </c>
      <c r="M20" s="77">
        <f t="shared" si="5"/>
        <v>19.628325198975723</v>
      </c>
      <c r="N20" s="76" t="e">
        <f>IF(F20&lt;0,0,ROUND((((1+#REF!)^(F20/30))-1)*(K20),2))</f>
        <v>#REF!</v>
      </c>
      <c r="O20" s="76">
        <f>IF(F20&lt;0,0,ROUND((((1+$C$12)^(F20/360))-1)*H20,2))</f>
        <v>0</v>
      </c>
      <c r="P20" s="78" t="e">
        <f t="shared" si="1"/>
        <v>#REF!</v>
      </c>
      <c r="Q20" s="98"/>
    </row>
    <row r="21" spans="2:19" ht="16.5">
      <c r="B21" s="90">
        <v>5</v>
      </c>
      <c r="C21" s="91">
        <f t="shared" si="6"/>
        <v>46437</v>
      </c>
      <c r="D21" s="92">
        <f t="shared" si="7"/>
        <v>14</v>
      </c>
      <c r="E21" s="93"/>
      <c r="F21" s="94">
        <f t="shared" si="0"/>
        <v>0</v>
      </c>
      <c r="G21" s="95">
        <f t="shared" si="2"/>
        <v>529.48288000078173</v>
      </c>
      <c r="H21" s="95">
        <f t="shared" si="3"/>
        <v>127.8687797323492</v>
      </c>
      <c r="I21" s="95">
        <f>G21*$H$10</f>
        <v>15.912687000447521</v>
      </c>
      <c r="J21" s="95">
        <f t="shared" si="8"/>
        <v>2.2185332672032754</v>
      </c>
      <c r="K21" s="95">
        <f t="shared" si="4"/>
        <v>146</v>
      </c>
      <c r="L21" s="84">
        <f t="shared" si="5"/>
        <v>127.8687797323492</v>
      </c>
      <c r="M21" s="77">
        <f t="shared" si="5"/>
        <v>15.912687000447521</v>
      </c>
      <c r="N21" s="76" t="e">
        <f>IF(F21&lt;0,0,ROUND((((1+#REF!)^(F21/30))-1)*(K21),2))</f>
        <v>#REF!</v>
      </c>
      <c r="O21" s="76">
        <f>IF(F21&lt;0,0,ROUND((((1+$C$12)^(F21/360))-1)*H21,2))</f>
        <v>0</v>
      </c>
      <c r="P21" s="78" t="e">
        <f t="shared" si="1"/>
        <v>#REF!</v>
      </c>
      <c r="Q21" s="98"/>
    </row>
    <row r="22" spans="2:19" ht="16.5">
      <c r="B22" s="90">
        <v>6</v>
      </c>
      <c r="C22" s="91">
        <f t="shared" si="6"/>
        <v>46451</v>
      </c>
      <c r="D22" s="92">
        <f t="shared" si="7"/>
        <v>14</v>
      </c>
      <c r="E22" s="93"/>
      <c r="F22" s="94">
        <f t="shared" si="0"/>
        <v>0</v>
      </c>
      <c r="G22" s="95">
        <f t="shared" si="2"/>
        <v>401.61410026843254</v>
      </c>
      <c r="H22" s="95">
        <f t="shared" si="3"/>
        <v>132.24742368525571</v>
      </c>
      <c r="I22" s="95">
        <f>G22*$H$10</f>
        <v>12.069813234619556</v>
      </c>
      <c r="J22" s="95">
        <f t="shared" si="8"/>
        <v>1.6827630801247324</v>
      </c>
      <c r="K22" s="95">
        <f t="shared" si="4"/>
        <v>146</v>
      </c>
      <c r="L22" s="84">
        <f t="shared" si="5"/>
        <v>132.24742368525571</v>
      </c>
      <c r="M22" s="77">
        <f t="shared" si="5"/>
        <v>12.069813234619556</v>
      </c>
      <c r="N22" s="76" t="e">
        <f>IF(F22&lt;0,0,ROUND((((1+#REF!)^(F22/30))-1)*(K22),2))</f>
        <v>#REF!</v>
      </c>
      <c r="O22" s="76">
        <f>IF(F22&lt;0,0,ROUND((((1+$C$12)^(F22/360))-1)*H22,2))</f>
        <v>0</v>
      </c>
      <c r="P22" s="78" t="e">
        <f t="shared" si="1"/>
        <v>#REF!</v>
      </c>
      <c r="Q22" s="98"/>
    </row>
    <row r="23" spans="2:19" ht="16.5">
      <c r="B23" s="90">
        <v>7</v>
      </c>
      <c r="C23" s="91">
        <f t="shared" si="6"/>
        <v>46465</v>
      </c>
      <c r="D23" s="92">
        <f t="shared" si="7"/>
        <v>14</v>
      </c>
      <c r="E23" s="93"/>
      <c r="F23" s="94">
        <f t="shared" si="0"/>
        <v>0</v>
      </c>
      <c r="G23" s="95">
        <f t="shared" si="2"/>
        <v>269.36667658317685</v>
      </c>
      <c r="H23" s="95">
        <f t="shared" si="3"/>
        <v>136.77600668431919</v>
      </c>
      <c r="I23" s="95">
        <f>G23*$H$10</f>
        <v>8.0953469407972953</v>
      </c>
      <c r="J23" s="95">
        <f t="shared" si="8"/>
        <v>1.1286463748835112</v>
      </c>
      <c r="K23" s="95">
        <f t="shared" si="4"/>
        <v>146</v>
      </c>
      <c r="L23" s="84">
        <f t="shared" si="5"/>
        <v>136.77600668431919</v>
      </c>
      <c r="M23" s="77">
        <f t="shared" si="5"/>
        <v>8.0953469407972953</v>
      </c>
      <c r="N23" s="76" t="e">
        <f>IF(F23&lt;0,0,ROUND((((1+#REF!)^(F23/30))-1)*(K23),2))</f>
        <v>#REF!</v>
      </c>
      <c r="O23" s="76">
        <f>IF(F23&lt;0,0,ROUND((((1+$C$12)^(F23/360))-1)*H23,2))</f>
        <v>0</v>
      </c>
      <c r="P23" s="78" t="e">
        <f t="shared" si="1"/>
        <v>#REF!</v>
      </c>
      <c r="Q23" s="98"/>
    </row>
    <row r="24" spans="2:19" ht="17" thickBot="1">
      <c r="B24" s="90">
        <v>8</v>
      </c>
      <c r="C24" s="91">
        <f t="shared" si="6"/>
        <v>46479</v>
      </c>
      <c r="D24" s="92">
        <f t="shared" si="7"/>
        <v>14</v>
      </c>
      <c r="E24" s="93"/>
      <c r="F24" s="94">
        <f t="shared" si="0"/>
        <v>0</v>
      </c>
      <c r="G24" s="95">
        <f t="shared" si="2"/>
        <v>132.59066989885767</v>
      </c>
      <c r="H24" s="95">
        <f t="shared" si="3"/>
        <v>132.59066989885767</v>
      </c>
      <c r="I24" s="95">
        <f>G24*$H$10</f>
        <v>3.9847819617455165</v>
      </c>
      <c r="J24" s="95">
        <f>G24*$C$11</f>
        <v>0.55555490687621367</v>
      </c>
      <c r="K24" s="95">
        <f>G24+I24+J24</f>
        <v>137.13100676747939</v>
      </c>
      <c r="L24" s="85">
        <f t="shared" si="5"/>
        <v>132.59066989885767</v>
      </c>
      <c r="M24" s="79">
        <f t="shared" si="5"/>
        <v>3.9847819617455165</v>
      </c>
      <c r="N24" s="80" t="e">
        <f>IF(F24&lt;0,0,ROUND((((1+#REF!)^(F24/30))-1)*(K24),2))</f>
        <v>#REF!</v>
      </c>
      <c r="O24" s="80">
        <f>IF(F24&lt;0,0,ROUND((((1+$C$12)^(F24/360))-1)*H24,2))</f>
        <v>0</v>
      </c>
      <c r="P24" s="81" t="e">
        <f t="shared" si="1"/>
        <v>#REF!</v>
      </c>
      <c r="Q24" s="98"/>
    </row>
    <row r="25" spans="2:19" ht="15.75" customHeight="1">
      <c r="Q25" s="98"/>
    </row>
    <row r="26" spans="2:19" ht="15.75" customHeight="1"/>
    <row r="27" spans="2:19" ht="15.75" customHeight="1"/>
    <row r="28" spans="2:19" ht="15.75" customHeight="1"/>
    <row r="29" spans="2:19" ht="15.75" customHeight="1"/>
    <row r="30" spans="2:19" ht="15.75" customHeight="1"/>
    <row r="31" spans="2:19" ht="15.75" customHeight="1"/>
    <row r="32" spans="2:1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</sheetData>
  <mergeCells count="10">
    <mergeCell ref="M15:N15"/>
    <mergeCell ref="A1:Q2"/>
    <mergeCell ref="A4:C4"/>
    <mergeCell ref="A5:B5"/>
    <mergeCell ref="A6:B6"/>
    <mergeCell ref="G9:K9"/>
    <mergeCell ref="L9:P9"/>
    <mergeCell ref="A10:B10"/>
    <mergeCell ref="A11:B11"/>
    <mergeCell ref="A12:B12"/>
  </mergeCells>
  <conditionalFormatting sqref="F16:F24">
    <cfRule type="cellIs" dxfId="1" priority="7" operator="greaterThan">
      <formula>0</formula>
    </cfRule>
  </conditionalFormatting>
  <conditionalFormatting sqref="N16:O24">
    <cfRule type="cellIs" dxfId="0" priority="5" operator="greaterThan">
      <formula>0</formula>
    </cfRule>
  </conditionalFormatting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549318A478A640B2F7B433E003DCD7" ma:contentTypeVersion="9" ma:contentTypeDescription="Crear nuevo documento." ma:contentTypeScope="" ma:versionID="2dd2f4b214cc6c31c91b383c0b7e9b1e">
  <xsd:schema xmlns:xsd="http://www.w3.org/2001/XMLSchema" xmlns:xs="http://www.w3.org/2001/XMLSchema" xmlns:p="http://schemas.microsoft.com/office/2006/metadata/properties" xmlns:ns2="1bd0c9a7-d71d-44a3-be6d-ed21d55e42e9" targetNamespace="http://schemas.microsoft.com/office/2006/metadata/properties" ma:root="true" ma:fieldsID="42842583293960e95bec85b20bc4ac90" ns2:_="">
    <xsd:import namespace="1bd0c9a7-d71d-44a3-be6d-ed21d55e42e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0c9a7-d71d-44a3-be6d-ed21d55e42e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fa8a67a8-636a-4b10-80ab-ca3baa0f1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d0c9a7-d71d-44a3-be6d-ed21d55e42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D98E47C-2DC2-404F-AD5B-77FD0C74A0A9}"/>
</file>

<file path=customXml/itemProps2.xml><?xml version="1.0" encoding="utf-8"?>
<ds:datastoreItem xmlns:ds="http://schemas.openxmlformats.org/officeDocument/2006/customXml" ds:itemID="{6F750E9F-58EF-4E40-81D7-7F613151EEEB}"/>
</file>

<file path=customXml/itemProps3.xml><?xml version="1.0" encoding="utf-8"?>
<ds:datastoreItem xmlns:ds="http://schemas.openxmlformats.org/officeDocument/2006/customXml" ds:itemID="{F27DE6FE-B381-4720-8F41-AFFBB460F0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Semilleros</vt:lpstr>
      <vt:lpstr>Llaxsa</vt:lpstr>
      <vt:lpstr>Qulqui</vt:lpstr>
      <vt:lpstr>Hoja1</vt:lpstr>
      <vt:lpstr>Kori</vt:lpstr>
      <vt:lpstr>Llaxsa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REVOLLAR</dc:creator>
  <cp:lastModifiedBy>JASHIRA CUADROS</cp:lastModifiedBy>
  <dcterms:created xsi:type="dcterms:W3CDTF">2024-06-05T22:25:26Z</dcterms:created>
  <dcterms:modified xsi:type="dcterms:W3CDTF">2026-07-22T16:52:29Z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0x0101008A549318A478A640B2F7B433E003DCD7</vt:lpwstr>
  </property>
</Properties>
</file>